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ciones" sheetId="1" state="visible" r:id="rId3"/>
    <sheet name="Datos" sheetId="2" state="visible" r:id="rId4"/>
    <sheet name="Análisi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<sst xmlns="http://schemas.openxmlformats.org/spreadsheetml/2006/main" count="66" uniqueCount="50">
  <si>
    <t xml:space="preserve">Datos de vida para análisis de Weibull</t>
  </si>
  <si>
    <t xml:space="preserve">Para qué sirve:</t>
  </si>
  <si>
    <t xml:space="preserve">Ordena los tiempos de vida de un mismo modo de falla y estima β y η por regresión de rangos, con las unidades que siguen operando como suspensiones.</t>
  </si>
  <si>
    <t xml:space="preserve">Cómo completarla:</t>
  </si>
  <si>
    <t xml:space="preserve">1. En la hoja Datos, una fila por unidad. Las filas de ejemplo se pueden borrar.</t>
  </si>
  <si>
    <t xml:space="preserve">2. Tiempo = horómetro a la falla o al corte menos horómetro al instalar o renovar. Usar la variable que mueve el daño: horas de operación, arranques o ciclos.</t>
  </si>
  <si>
    <t xml:space="preserve">3. Estado: Falla si la unidad falló por el modo analizado; Suspensión si sigue operando o salió de servicio por otro motivo.</t>
  </si>
  <si>
    <t xml:space="preserve">4. Analizar un modo de falla por vez. Mezclar modos produce un β sin significado físico.</t>
  </si>
  <si>
    <t xml:space="preserve">Cómo leer el resultado (hoja Análisis):</t>
  </si>
  <si>
    <t xml:space="preserve">· β &lt; 1: mortalidad infantil; β ≈ 1: fallas aleatorias; β &gt; 1: desgaste. Con pocas fallas la incertidumbre es grande.</t>
  </si>
  <si>
    <t xml:space="preserve">· η: tiempo al que falló el 63,2 % de la población. B10: tiempo al que falló el 10 %.</t>
  </si>
  <si>
    <t xml:space="preserve">· Con menos de 5 fallas, conviene un β supuesto (Weibayes) o reunir más datos antes de fijar un intervalo.</t>
  </si>
  <si>
    <t xml:space="preserve">Referencias</t>
  </si>
  <si>
    <t xml:space="preserve">Abernethy, R. B. (2006). The New Weibull Handbook, 5.ª ed.</t>
  </si>
  <si>
    <t xml:space="preserve">IEC 61649:2008. Weibull analysis.</t>
  </si>
  <si>
    <t xml:space="preserve">MODO CONFIABILIDAD · Plantilla de uso libre. Más herramientas y guías en el sitio.</t>
  </si>
  <si>
    <t xml:space="preserve">Una fila por unidad: tiempo hasta la falla o hasta la fecha de corte si sigue operando (suspensión).</t>
  </si>
  <si>
    <t xml:space="preserve">Celdas amarillas: datos a completar. Celdas grises: fórmulas, no editar. La primera fila es un ejemplo y se puede borrar.</t>
  </si>
  <si>
    <t xml:space="preserve">Unidad</t>
  </si>
  <si>
    <t xml:space="preserve">Horómetro al instalar o renovar (h)</t>
  </si>
  <si>
    <t xml:space="preserve">Horómetro a la falla o al corte (h)</t>
  </si>
  <si>
    <t xml:space="preserve">Estado</t>
  </si>
  <si>
    <t xml:space="preserve">Modo de falla</t>
  </si>
  <si>
    <t xml:space="preserve">Tiempo (h)</t>
  </si>
  <si>
    <t xml:space="preserve">Clave de orden</t>
  </si>
  <si>
    <t xml:space="preserve">P-01</t>
  </si>
  <si>
    <t xml:space="preserve">Falla</t>
  </si>
  <si>
    <t xml:space="preserve">Sello con pérdida</t>
  </si>
  <si>
    <t xml:space="preserve">P-02</t>
  </si>
  <si>
    <t xml:space="preserve">P-03</t>
  </si>
  <si>
    <t xml:space="preserve">P-04</t>
  </si>
  <si>
    <t xml:space="preserve">P-05</t>
  </si>
  <si>
    <t xml:space="preserve">P-06</t>
  </si>
  <si>
    <t xml:space="preserve">P-07</t>
  </si>
  <si>
    <t xml:space="preserve">Suspensión</t>
  </si>
  <si>
    <t xml:space="preserve">P-08</t>
  </si>
  <si>
    <t xml:space="preserve">Regresión de rangos sobre Y con rangos ajustados de Johnson y rango de mediana de Bernard</t>
  </si>
  <si>
    <t xml:space="preserve">Las filas se ordenan solas por tiempo. Para máxima verosimilitud, límites de confianza y regresión sobre X, usar la calculadora de Weibull del sitio.</t>
  </si>
  <si>
    <t xml:space="preserve">Unidades</t>
  </si>
  <si>
    <t xml:space="preserve">Fallas</t>
  </si>
  <si>
    <t xml:space="preserve">β (forma)</t>
  </si>
  <si>
    <t xml:space="preserve">η (vida característica, h)</t>
  </si>
  <si>
    <t xml:space="preserve">Vida B10 (h)</t>
  </si>
  <si>
    <t xml:space="preserve">Orden</t>
  </si>
  <si>
    <t xml:space="preserve">Clave</t>
  </si>
  <si>
    <t xml:space="preserve">Rango inverso</t>
  </si>
  <si>
    <t xml:space="preserve">Rango ajustado</t>
  </si>
  <si>
    <t xml:space="preserve">F (Bernard)</t>
  </si>
  <si>
    <t xml:space="preserve">ln t</t>
  </si>
  <si>
    <t xml:space="preserve">ln(−ln(1−F))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</si>
</sst>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00000"/>
    <numFmt numFmtId="167" formatCode="0.00"/>
    <numFmt numFmtId="168" formatCode="@"/>
    <numFmt numFmtId="169" formatCode="0.000"/>
    <numFmt numFmtId="170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3F4B53"/>
      <name val="Arial"/>
      <family val="0"/>
      <charset val="1"/>
    </font>
    <font>
      <i val="true"/>
      <sz val="9"/>
      <color rgb="FF5D6B74"/>
      <name val="Arial"/>
      <family val="0"/>
      <charset val="1"/>
    </font>
    <font>
      <b val="true"/>
      <sz val="14"/>
      <color rgb="FF11171B"/>
      <name val="Arial"/>
      <family val="0"/>
      <charset val="1"/>
    </font>
    <font>
      <sz val="9"/>
      <color rgb="FF5D6B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1171B"/>
      <name val="Arial"/>
      <family val="0"/>
      <charset val="1"/>
    </font>
    <font>
      <b val="true"/>
      <sz val="12"/>
      <name val="Arial"/>
      <family val="0"/>
      <charset val="1"/>
    </font>
    <font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6B80"/>
        <bgColor rgb="FF008080"/>
      </patternFill>
    </fill>
    <fill>
      <patternFill patternType="solid">
        <fgColor rgb="FFFFF2CC"/>
        <bgColor rgb="FFEEF2F3"/>
      </patternFill>
    </fill>
    <fill>
      <patternFill patternType="solid">
        <fgColor rgb="FFEEF2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6"/>
      </left>
      <right style="thin">
        <color rgb="FFC9D2D6"/>
      </right>
      <top style="thin">
        <color rgb="FFC9D2D6"/>
      </top>
      <bottom style="thin">
        <color rgb="FFC9D2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B80"/>
      <rgbColor rgb="FFC0C0C0"/>
      <rgbColor rgb="FF808080"/>
      <rgbColor rgb="FF9999FF"/>
      <rgbColor rgb="FF993366"/>
      <rgbColor rgb="FFFFF2CC"/>
      <rgbColor rgb="FFEEF2F3"/>
      <rgbColor rgb="FF660066"/>
      <rgbColor rgb="FFFF8080"/>
      <rgbColor rgb="FF0066CC"/>
      <rgbColor rgb="FFC9D2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6B74"/>
      <rgbColor rgb="FF969696"/>
      <rgbColor rgb="FF003366"/>
      <rgbColor rgb="FF339966"/>
      <rgbColor rgb="FF11171B"/>
      <rgbColor rgb="FF333300"/>
      <rgbColor rgb="FF993300"/>
      <rgbColor rgb="FF993366"/>
      <rgbColor rgb="FF333399"/>
      <rgbColor rgb="FF3F4B5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3" t="s">
        <v>4</v>
      </c>
    </row>
    <row r="7" customFormat="false" ht="23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3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5" t="s">
        <v>13</v>
      </c>
    </row>
    <row r="17" customFormat="false" ht="15" hidden="false" customHeight="false" outlineLevel="0" collapsed="false">
      <c r="A17" s="5" t="s">
        <v>14</v>
      </c>
    </row>
    <row r="19" customFormat="false" ht="15" hidden="false" customHeight="false" outlineLevel="0" collapsed="false">
      <c r="A19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6" min="6" style="0" width="11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7" t="s">
        <v>0</v>
      </c>
    </row>
    <row r="2" customFormat="false" ht="15" hidden="false" customHeight="false" outlineLevel="0" collapsed="false">
      <c r="A2" s="8" t="s">
        <v>16</v>
      </c>
    </row>
    <row r="3" customFormat="false" ht="15" hidden="false" customHeight="false" outlineLevel="0" collapsed="false">
      <c r="A3" s="6" t="s">
        <v>17</v>
      </c>
    </row>
    <row r="5" customFormat="false" ht="36" hidden="false" customHeight="true" outlineLevel="0" collapsed="false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</row>
    <row r="6" customFormat="false" ht="15" hidden="false" customHeight="false" outlineLevel="0" collapsed="false">
      <c r="A6" s="10" t="s">
        <v>25</v>
      </c>
      <c r="B6" s="11" t="n">
        <v>0</v>
      </c>
      <c r="C6" s="11" t="n">
        <v>1600</v>
      </c>
      <c r="D6" s="10" t="s">
        <v>26</v>
      </c>
      <c r="E6" s="10" t="s">
        <v>27</v>
      </c>
      <c r="F6" s="12" t="n">
        <f aca="false">IF(AND(ISNUMBER(B6),ISNUMBER(C6),C6&gt;B6),C6-B6,"")</f>
        <v>1600</v>
      </c>
      <c r="G6" s="13" t="n">
        <f aca="false">IF(ISNUMBER(F6),F6+ROW()/1000000,"")</f>
        <v>1600.000006</v>
      </c>
    </row>
    <row r="7" customFormat="false" ht="15" hidden="false" customHeight="false" outlineLevel="0" collapsed="false">
      <c r="A7" s="10" t="s">
        <v>28</v>
      </c>
      <c r="B7" s="11" t="n">
        <v>2000</v>
      </c>
      <c r="C7" s="11" t="n">
        <v>5400</v>
      </c>
      <c r="D7" s="10" t="s">
        <v>26</v>
      </c>
      <c r="E7" s="10" t="s">
        <v>27</v>
      </c>
      <c r="F7" s="12" t="n">
        <f aca="false">IF(AND(ISNUMBER(B7),ISNUMBER(C7),C7&gt;B7),C7-B7,"")</f>
        <v>3400</v>
      </c>
      <c r="G7" s="13" t="n">
        <f aca="false">IF(ISNUMBER(F7),F7+ROW()/1000000,"")</f>
        <v>3400.000007</v>
      </c>
    </row>
    <row r="8" customFormat="false" ht="15" hidden="false" customHeight="false" outlineLevel="0" collapsed="false">
      <c r="A8" s="10" t="s">
        <v>29</v>
      </c>
      <c r="B8" s="11" t="n">
        <v>500</v>
      </c>
      <c r="C8" s="11" t="n">
        <v>5800</v>
      </c>
      <c r="D8" s="10" t="s">
        <v>26</v>
      </c>
      <c r="E8" s="10" t="s">
        <v>27</v>
      </c>
      <c r="F8" s="12" t="n">
        <f aca="false">IF(AND(ISNUMBER(B8),ISNUMBER(C8),C8&gt;B8),C8-B8,"")</f>
        <v>5300</v>
      </c>
      <c r="G8" s="13" t="n">
        <f aca="false">IF(ISNUMBER(F8),F8+ROW()/1000000,"")</f>
        <v>5300.000008</v>
      </c>
    </row>
    <row r="9" customFormat="false" ht="15" hidden="false" customHeight="false" outlineLevel="0" collapsed="false">
      <c r="A9" s="10" t="s">
        <v>30</v>
      </c>
      <c r="B9" s="11" t="n">
        <v>0</v>
      </c>
      <c r="C9" s="11" t="n">
        <v>7500</v>
      </c>
      <c r="D9" s="10" t="s">
        <v>26</v>
      </c>
      <c r="E9" s="10" t="s">
        <v>27</v>
      </c>
      <c r="F9" s="12" t="n">
        <f aca="false">IF(AND(ISNUMBER(B9),ISNUMBER(C9),C9&gt;B9),C9-B9,"")</f>
        <v>7500</v>
      </c>
      <c r="G9" s="13" t="n">
        <f aca="false">IF(ISNUMBER(F9),F9+ROW()/1000000,"")</f>
        <v>7500.000009</v>
      </c>
    </row>
    <row r="10" customFormat="false" ht="15" hidden="false" customHeight="false" outlineLevel="0" collapsed="false">
      <c r="A10" s="10" t="s">
        <v>31</v>
      </c>
      <c r="B10" s="11" t="n">
        <v>1200</v>
      </c>
      <c r="C10" s="11" t="n">
        <v>10500</v>
      </c>
      <c r="D10" s="10" t="s">
        <v>26</v>
      </c>
      <c r="E10" s="10" t="s">
        <v>27</v>
      </c>
      <c r="F10" s="12" t="n">
        <f aca="false">IF(AND(ISNUMBER(B10),ISNUMBER(C10),C10&gt;B10),C10-B10,"")</f>
        <v>9300</v>
      </c>
      <c r="G10" s="13" t="n">
        <f aca="false">IF(ISNUMBER(F10),F10+ROW()/1000000,"")</f>
        <v>9300.00001</v>
      </c>
    </row>
    <row r="11" customFormat="false" ht="15" hidden="false" customHeight="false" outlineLevel="0" collapsed="false">
      <c r="A11" s="10" t="s">
        <v>32</v>
      </c>
      <c r="B11" s="11" t="n">
        <v>0</v>
      </c>
      <c r="C11" s="11" t="n">
        <v>12000</v>
      </c>
      <c r="D11" s="10" t="s">
        <v>26</v>
      </c>
      <c r="E11" s="10" t="s">
        <v>27</v>
      </c>
      <c r="F11" s="12" t="n">
        <f aca="false">IF(AND(ISNUMBER(B11),ISNUMBER(C11),C11&gt;B11),C11-B11,"")</f>
        <v>12000</v>
      </c>
      <c r="G11" s="13" t="n">
        <f aca="false">IF(ISNUMBER(F11),F11+ROW()/1000000,"")</f>
        <v>12000.000011</v>
      </c>
    </row>
    <row r="12" customFormat="false" ht="15" hidden="false" customHeight="false" outlineLevel="0" collapsed="false">
      <c r="A12" s="10" t="s">
        <v>33</v>
      </c>
      <c r="B12" s="11" t="n">
        <v>0</v>
      </c>
      <c r="C12" s="11" t="n">
        <v>13000</v>
      </c>
      <c r="D12" s="10" t="s">
        <v>34</v>
      </c>
      <c r="E12" s="10" t="s">
        <v>27</v>
      </c>
      <c r="F12" s="12" t="n">
        <f aca="false">IF(AND(ISNUMBER(B12),ISNUMBER(C12),C12&gt;B12),C12-B12,"")</f>
        <v>13000</v>
      </c>
      <c r="G12" s="13" t="n">
        <f aca="false">IF(ISNUMBER(F12),F12+ROW()/1000000,"")</f>
        <v>13000.000012</v>
      </c>
    </row>
    <row r="13" customFormat="false" ht="15" hidden="false" customHeight="false" outlineLevel="0" collapsed="false">
      <c r="A13" s="10" t="s">
        <v>35</v>
      </c>
      <c r="B13" s="11" t="n">
        <v>0</v>
      </c>
      <c r="C13" s="11" t="n">
        <v>13000</v>
      </c>
      <c r="D13" s="10" t="s">
        <v>34</v>
      </c>
      <c r="E13" s="10" t="s">
        <v>27</v>
      </c>
      <c r="F13" s="12" t="n">
        <f aca="false">IF(AND(ISNUMBER(B13),ISNUMBER(C13),C13&gt;B13),C13-B13,"")</f>
        <v>13000</v>
      </c>
      <c r="G13" s="13" t="n">
        <f aca="false">IF(ISNUMBER(F13),F13+ROW()/1000000,"")</f>
        <v>13000.000013</v>
      </c>
    </row>
    <row r="14" customFormat="false" ht="15" hidden="false" customHeight="false" outlineLevel="0" collapsed="false">
      <c r="A14" s="10"/>
      <c r="B14" s="11"/>
      <c r="C14" s="11"/>
      <c r="D14" s="10"/>
      <c r="E14" s="10"/>
      <c r="F14" s="12" t="str">
        <f aca="false">IF(AND(ISNUMBER(B14),ISNUMBER(C14),C14&gt;B14),C14-B14,"")</f>
        <v/>
      </c>
      <c r="G14" s="13" t="str">
        <f aca="false">IF(ISNUMBER(F14),F14+ROW()/1000000,"")</f>
        <v/>
      </c>
    </row>
    <row r="15" customFormat="false" ht="15" hidden="false" customHeight="false" outlineLevel="0" collapsed="false">
      <c r="A15" s="10"/>
      <c r="B15" s="11"/>
      <c r="C15" s="11"/>
      <c r="D15" s="10"/>
      <c r="E15" s="10"/>
      <c r="F15" s="12" t="str">
        <f aca="false">IF(AND(ISNUMBER(B15),ISNUMBER(C15),C15&gt;B15),C15-B15,"")</f>
        <v/>
      </c>
      <c r="G15" s="13" t="str">
        <f aca="false">IF(ISNUMBER(F15),F15+ROW()/1000000,"")</f>
        <v/>
      </c>
    </row>
    <row r="16" customFormat="false" ht="15" hidden="false" customHeight="false" outlineLevel="0" collapsed="false">
      <c r="A16" s="10"/>
      <c r="B16" s="11"/>
      <c r="C16" s="11"/>
      <c r="D16" s="10"/>
      <c r="E16" s="10"/>
      <c r="F16" s="12" t="str">
        <f aca="false">IF(AND(ISNUMBER(B16),ISNUMBER(C16),C16&gt;B16),C16-B16,"")</f>
        <v/>
      </c>
      <c r="G16" s="13" t="str">
        <f aca="false">IF(ISNUMBER(F16),F16+ROW()/1000000,"")</f>
        <v/>
      </c>
    </row>
    <row r="17" customFormat="false" ht="15" hidden="false" customHeight="false" outlineLevel="0" collapsed="false">
      <c r="A17" s="10"/>
      <c r="B17" s="11"/>
      <c r="C17" s="11"/>
      <c r="D17" s="10"/>
      <c r="E17" s="10"/>
      <c r="F17" s="12" t="str">
        <f aca="false">IF(AND(ISNUMBER(B17),ISNUMBER(C17),C17&gt;B17),C17-B17,"")</f>
        <v/>
      </c>
      <c r="G17" s="13" t="str">
        <f aca="false">IF(ISNUMBER(F17),F17+ROW()/1000000,"")</f>
        <v/>
      </c>
    </row>
    <row r="18" customFormat="false" ht="15" hidden="false" customHeight="false" outlineLevel="0" collapsed="false">
      <c r="A18" s="10"/>
      <c r="B18" s="11"/>
      <c r="C18" s="11"/>
      <c r="D18" s="10"/>
      <c r="E18" s="10"/>
      <c r="F18" s="12" t="str">
        <f aca="false">IF(AND(ISNUMBER(B18),ISNUMBER(C18),C18&gt;B18),C18-B18,"")</f>
        <v/>
      </c>
      <c r="G18" s="13" t="str">
        <f aca="false">IF(ISNUMBER(F18),F18+ROW()/1000000,"")</f>
        <v/>
      </c>
    </row>
    <row r="19" customFormat="false" ht="15" hidden="false" customHeight="false" outlineLevel="0" collapsed="false">
      <c r="A19" s="10"/>
      <c r="B19" s="11"/>
      <c r="C19" s="11"/>
      <c r="D19" s="10"/>
      <c r="E19" s="10"/>
      <c r="F19" s="12" t="str">
        <f aca="false">IF(AND(ISNUMBER(B19),ISNUMBER(C19),C19&gt;B19),C19-B19,"")</f>
        <v/>
      </c>
      <c r="G19" s="13" t="str">
        <f aca="false">IF(ISNUMBER(F19),F19+ROW()/1000000,"")</f>
        <v/>
      </c>
    </row>
    <row r="20" customFormat="false" ht="15" hidden="false" customHeight="false" outlineLevel="0" collapsed="false">
      <c r="A20" s="10"/>
      <c r="B20" s="11"/>
      <c r="C20" s="11"/>
      <c r="D20" s="10"/>
      <c r="E20" s="10"/>
      <c r="F20" s="12" t="str">
        <f aca="false">IF(AND(ISNUMBER(B20),ISNUMBER(C20),C20&gt;B20),C20-B20,"")</f>
        <v/>
      </c>
      <c r="G20" s="13" t="str">
        <f aca="false">IF(ISNUMBER(F20),F20+ROW()/1000000,"")</f>
        <v/>
      </c>
    </row>
    <row r="21" customFormat="false" ht="15" hidden="false" customHeight="false" outlineLevel="0" collapsed="false">
      <c r="A21" s="10"/>
      <c r="B21" s="11"/>
      <c r="C21" s="11"/>
      <c r="D21" s="10"/>
      <c r="E21" s="10"/>
      <c r="F21" s="12" t="str">
        <f aca="false">IF(AND(ISNUMBER(B21),ISNUMBER(C21),C21&gt;B21),C21-B21,"")</f>
        <v/>
      </c>
      <c r="G21" s="13" t="str">
        <f aca="false">IF(ISNUMBER(F21),F21+ROW()/1000000,"")</f>
        <v/>
      </c>
    </row>
    <row r="22" customFormat="false" ht="15" hidden="false" customHeight="false" outlineLevel="0" collapsed="false">
      <c r="A22" s="10"/>
      <c r="B22" s="11"/>
      <c r="C22" s="11"/>
      <c r="D22" s="10"/>
      <c r="E22" s="10"/>
      <c r="F22" s="12" t="str">
        <f aca="false">IF(AND(ISNUMBER(B22),ISNUMBER(C22),C22&gt;B22),C22-B22,"")</f>
        <v/>
      </c>
      <c r="G22" s="13" t="str">
        <f aca="false">IF(ISNUMBER(F22),F22+ROW()/1000000,"")</f>
        <v/>
      </c>
    </row>
    <row r="23" customFormat="false" ht="15" hidden="false" customHeight="false" outlineLevel="0" collapsed="false">
      <c r="A23" s="10"/>
      <c r="B23" s="11"/>
      <c r="C23" s="11"/>
      <c r="D23" s="10"/>
      <c r="E23" s="10"/>
      <c r="F23" s="12" t="str">
        <f aca="false">IF(AND(ISNUMBER(B23),ISNUMBER(C23),C23&gt;B23),C23-B23,"")</f>
        <v/>
      </c>
      <c r="G23" s="13" t="str">
        <f aca="false">IF(ISNUMBER(F23),F23+ROW()/1000000,"")</f>
        <v/>
      </c>
    </row>
    <row r="24" customFormat="false" ht="15" hidden="false" customHeight="false" outlineLevel="0" collapsed="false">
      <c r="A24" s="10"/>
      <c r="B24" s="11"/>
      <c r="C24" s="11"/>
      <c r="D24" s="10"/>
      <c r="E24" s="10"/>
      <c r="F24" s="12" t="str">
        <f aca="false">IF(AND(ISNUMBER(B24),ISNUMBER(C24),C24&gt;B24),C24-B24,"")</f>
        <v/>
      </c>
      <c r="G24" s="13" t="str">
        <f aca="false">IF(ISNUMBER(F24),F24+ROW()/1000000,"")</f>
        <v/>
      </c>
    </row>
    <row r="25" customFormat="false" ht="15" hidden="false" customHeight="false" outlineLevel="0" collapsed="false">
      <c r="A25" s="10"/>
      <c r="B25" s="11"/>
      <c r="C25" s="11"/>
      <c r="D25" s="10"/>
      <c r="E25" s="10"/>
      <c r="F25" s="12" t="str">
        <f aca="false">IF(AND(ISNUMBER(B25),ISNUMBER(C25),C25&gt;B25),C25-B25,"")</f>
        <v/>
      </c>
      <c r="G25" s="13" t="str">
        <f aca="false">IF(ISNUMBER(F25),F25+ROW()/1000000,"")</f>
        <v/>
      </c>
    </row>
    <row r="26" customFormat="false" ht="15" hidden="false" customHeight="false" outlineLevel="0" collapsed="false">
      <c r="A26" s="10"/>
      <c r="B26" s="11"/>
      <c r="C26" s="11"/>
      <c r="D26" s="10"/>
      <c r="E26" s="10"/>
      <c r="F26" s="12" t="str">
        <f aca="false">IF(AND(ISNUMBER(B26),ISNUMBER(C26),C26&gt;B26),C26-B26,"")</f>
        <v/>
      </c>
      <c r="G26" s="13" t="str">
        <f aca="false">IF(ISNUMBER(F26),F26+ROW()/1000000,"")</f>
        <v/>
      </c>
    </row>
    <row r="27" customFormat="false" ht="15" hidden="false" customHeight="false" outlineLevel="0" collapsed="false">
      <c r="A27" s="10"/>
      <c r="B27" s="11"/>
      <c r="C27" s="11"/>
      <c r="D27" s="10"/>
      <c r="E27" s="10"/>
      <c r="F27" s="12" t="str">
        <f aca="false">IF(AND(ISNUMBER(B27),ISNUMBER(C27),C27&gt;B27),C27-B27,"")</f>
        <v/>
      </c>
      <c r="G27" s="13" t="str">
        <f aca="false">IF(ISNUMBER(F27),F27+ROW()/1000000,"")</f>
        <v/>
      </c>
    </row>
    <row r="28" customFormat="false" ht="15" hidden="false" customHeight="false" outlineLevel="0" collapsed="false">
      <c r="A28" s="10"/>
      <c r="B28" s="11"/>
      <c r="C28" s="11"/>
      <c r="D28" s="10"/>
      <c r="E28" s="10"/>
      <c r="F28" s="12" t="str">
        <f aca="false">IF(AND(ISNUMBER(B28),ISNUMBER(C28),C28&gt;B28),C28-B28,"")</f>
        <v/>
      </c>
      <c r="G28" s="13" t="str">
        <f aca="false">IF(ISNUMBER(F28),F28+ROW()/1000000,"")</f>
        <v/>
      </c>
    </row>
    <row r="29" customFormat="false" ht="15" hidden="false" customHeight="false" outlineLevel="0" collapsed="false">
      <c r="A29" s="10"/>
      <c r="B29" s="11"/>
      <c r="C29" s="11"/>
      <c r="D29" s="10"/>
      <c r="E29" s="10"/>
      <c r="F29" s="12" t="str">
        <f aca="false">IF(AND(ISNUMBER(B29),ISNUMBER(C29),C29&gt;B29),C29-B29,"")</f>
        <v/>
      </c>
      <c r="G29" s="13" t="str">
        <f aca="false">IF(ISNUMBER(F29),F29+ROW()/1000000,"")</f>
        <v/>
      </c>
    </row>
    <row r="30" customFormat="false" ht="15" hidden="false" customHeight="false" outlineLevel="0" collapsed="false">
      <c r="A30" s="10"/>
      <c r="B30" s="11"/>
      <c r="C30" s="11"/>
      <c r="D30" s="10"/>
      <c r="E30" s="10"/>
      <c r="F30" s="12" t="str">
        <f aca="false">IF(AND(ISNUMBER(B30),ISNUMBER(C30),C30&gt;B30),C30-B30,"")</f>
        <v/>
      </c>
      <c r="G30" s="13" t="str">
        <f aca="false">IF(ISNUMBER(F30),F30+ROW()/1000000,"")</f>
        <v/>
      </c>
    </row>
    <row r="31" customFormat="false" ht="15" hidden="false" customHeight="false" outlineLevel="0" collapsed="false">
      <c r="A31" s="10"/>
      <c r="B31" s="11"/>
      <c r="C31" s="11"/>
      <c r="D31" s="10"/>
      <c r="E31" s="10"/>
      <c r="F31" s="12" t="str">
        <f aca="false">IF(AND(ISNUMBER(B31),ISNUMBER(C31),C31&gt;B31),C31-B31,"")</f>
        <v/>
      </c>
      <c r="G31" s="13" t="str">
        <f aca="false">IF(ISNUMBER(F31),F31+ROW()/1000000,"")</f>
        <v/>
      </c>
    </row>
    <row r="32" customFormat="false" ht="15" hidden="false" customHeight="false" outlineLevel="0" collapsed="false">
      <c r="A32" s="10"/>
      <c r="B32" s="11"/>
      <c r="C32" s="11"/>
      <c r="D32" s="10"/>
      <c r="E32" s="10"/>
      <c r="F32" s="12" t="str">
        <f aca="false">IF(AND(ISNUMBER(B32),ISNUMBER(C32),C32&gt;B32),C32-B32,"")</f>
        <v/>
      </c>
      <c r="G32" s="13" t="str">
        <f aca="false">IF(ISNUMBER(F32),F32+ROW()/1000000,"")</f>
        <v/>
      </c>
    </row>
    <row r="33" customFormat="false" ht="15" hidden="false" customHeight="false" outlineLevel="0" collapsed="false">
      <c r="A33" s="10"/>
      <c r="B33" s="11"/>
      <c r="C33" s="11"/>
      <c r="D33" s="10"/>
      <c r="E33" s="10"/>
      <c r="F33" s="12" t="str">
        <f aca="false">IF(AND(ISNUMBER(B33),ISNUMBER(C33),C33&gt;B33),C33-B33,"")</f>
        <v/>
      </c>
      <c r="G33" s="13" t="str">
        <f aca="false">IF(ISNUMBER(F33),F33+ROW()/1000000,"")</f>
        <v/>
      </c>
    </row>
    <row r="34" customFormat="false" ht="15" hidden="false" customHeight="false" outlineLevel="0" collapsed="false">
      <c r="A34" s="10"/>
      <c r="B34" s="11"/>
      <c r="C34" s="11"/>
      <c r="D34" s="10"/>
      <c r="E34" s="10"/>
      <c r="F34" s="12" t="str">
        <f aca="false">IF(AND(ISNUMBER(B34),ISNUMBER(C34),C34&gt;B34),C34-B34,"")</f>
        <v/>
      </c>
      <c r="G34" s="13" t="str">
        <f aca="false">IF(ISNUMBER(F34),F34+ROW()/1000000,"")</f>
        <v/>
      </c>
    </row>
    <row r="35" customFormat="false" ht="15" hidden="false" customHeight="false" outlineLevel="0" collapsed="false">
      <c r="A35" s="10"/>
      <c r="B35" s="11"/>
      <c r="C35" s="11"/>
      <c r="D35" s="10"/>
      <c r="E35" s="10"/>
      <c r="F35" s="12" t="str">
        <f aca="false">IF(AND(ISNUMBER(B35),ISNUMBER(C35),C35&gt;B35),C35-B35,"")</f>
        <v/>
      </c>
      <c r="G35" s="13" t="str">
        <f aca="false">IF(ISNUMBER(F35),F35+ROW()/1000000,"")</f>
        <v/>
      </c>
    </row>
    <row r="36" customFormat="false" ht="15" hidden="false" customHeight="false" outlineLevel="0" collapsed="false">
      <c r="A36" s="10"/>
      <c r="B36" s="11"/>
      <c r="C36" s="11"/>
      <c r="D36" s="10"/>
      <c r="E36" s="10"/>
      <c r="F36" s="12" t="str">
        <f aca="false">IF(AND(ISNUMBER(B36),ISNUMBER(C36),C36&gt;B36),C36-B36,"")</f>
        <v/>
      </c>
      <c r="G36" s="13" t="str">
        <f aca="false">IF(ISNUMBER(F36),F36+ROW()/1000000,"")</f>
        <v/>
      </c>
    </row>
    <row r="37" customFormat="false" ht="15" hidden="false" customHeight="false" outlineLevel="0" collapsed="false">
      <c r="A37" s="10"/>
      <c r="B37" s="11"/>
      <c r="C37" s="11"/>
      <c r="D37" s="10"/>
      <c r="E37" s="10"/>
      <c r="F37" s="12" t="str">
        <f aca="false">IF(AND(ISNUMBER(B37),ISNUMBER(C37),C37&gt;B37),C37-B37,"")</f>
        <v/>
      </c>
      <c r="G37" s="13" t="str">
        <f aca="false">IF(ISNUMBER(F37),F37+ROW()/1000000,"")</f>
        <v/>
      </c>
    </row>
    <row r="38" customFormat="false" ht="15" hidden="false" customHeight="false" outlineLevel="0" collapsed="false">
      <c r="A38" s="10"/>
      <c r="B38" s="11"/>
      <c r="C38" s="11"/>
      <c r="D38" s="10"/>
      <c r="E38" s="10"/>
      <c r="F38" s="12" t="str">
        <f aca="false">IF(AND(ISNUMBER(B38),ISNUMBER(C38),C38&gt;B38),C38-B38,"")</f>
        <v/>
      </c>
      <c r="G38" s="13" t="str">
        <f aca="false">IF(ISNUMBER(F38),F38+ROW()/1000000,"")</f>
        <v/>
      </c>
    </row>
    <row r="39" customFormat="false" ht="15" hidden="false" customHeight="false" outlineLevel="0" collapsed="false">
      <c r="A39" s="10"/>
      <c r="B39" s="11"/>
      <c r="C39" s="11"/>
      <c r="D39" s="10"/>
      <c r="E39" s="10"/>
      <c r="F39" s="12" t="str">
        <f aca="false">IF(AND(ISNUMBER(B39),ISNUMBER(C39),C39&gt;B39),C39-B39,"")</f>
        <v/>
      </c>
      <c r="G39" s="13" t="str">
        <f aca="false">IF(ISNUMBER(F39),F39+ROW()/1000000,"")</f>
        <v/>
      </c>
    </row>
    <row r="40" customFormat="false" ht="15" hidden="false" customHeight="false" outlineLevel="0" collapsed="false">
      <c r="A40" s="10"/>
      <c r="B40" s="11"/>
      <c r="C40" s="11"/>
      <c r="D40" s="10"/>
      <c r="E40" s="10"/>
      <c r="F40" s="12" t="str">
        <f aca="false">IF(AND(ISNUMBER(B40),ISNUMBER(C40),C40&gt;B40),C40-B40,"")</f>
        <v/>
      </c>
      <c r="G40" s="13" t="str">
        <f aca="false">IF(ISNUMBER(F40),F40+ROW()/1000000,"")</f>
        <v/>
      </c>
    </row>
    <row r="41" customFormat="false" ht="15" hidden="false" customHeight="false" outlineLevel="0" collapsed="false">
      <c r="A41" s="10"/>
      <c r="B41" s="11"/>
      <c r="C41" s="11"/>
      <c r="D41" s="10"/>
      <c r="E41" s="10"/>
      <c r="F41" s="12" t="str">
        <f aca="false">IF(AND(ISNUMBER(B41),ISNUMBER(C41),C41&gt;B41),C41-B41,"")</f>
        <v/>
      </c>
      <c r="G41" s="13" t="str">
        <f aca="false">IF(ISNUMBER(F41),F41+ROW()/1000000,"")</f>
        <v/>
      </c>
    </row>
    <row r="42" customFormat="false" ht="15" hidden="false" customHeight="false" outlineLevel="0" collapsed="false">
      <c r="A42" s="10"/>
      <c r="B42" s="11"/>
      <c r="C42" s="11"/>
      <c r="D42" s="10"/>
      <c r="E42" s="10"/>
      <c r="F42" s="12" t="str">
        <f aca="false">IF(AND(ISNUMBER(B42),ISNUMBER(C42),C42&gt;B42),C42-B42,"")</f>
        <v/>
      </c>
      <c r="G42" s="13" t="str">
        <f aca="false">IF(ISNUMBER(F42),F42+ROW()/1000000,"")</f>
        <v/>
      </c>
    </row>
    <row r="43" customFormat="false" ht="15" hidden="false" customHeight="false" outlineLevel="0" collapsed="false">
      <c r="A43" s="10"/>
      <c r="B43" s="11"/>
      <c r="C43" s="11"/>
      <c r="D43" s="10"/>
      <c r="E43" s="10"/>
      <c r="F43" s="12" t="str">
        <f aca="false">IF(AND(ISNUMBER(B43),ISNUMBER(C43),C43&gt;B43),C43-B43,"")</f>
        <v/>
      </c>
      <c r="G43" s="13" t="str">
        <f aca="false">IF(ISNUMBER(F43),F43+ROW()/1000000,"")</f>
        <v/>
      </c>
    </row>
    <row r="44" customFormat="false" ht="15" hidden="false" customHeight="false" outlineLevel="0" collapsed="false">
      <c r="A44" s="10"/>
      <c r="B44" s="11"/>
      <c r="C44" s="11"/>
      <c r="D44" s="10"/>
      <c r="E44" s="10"/>
      <c r="F44" s="12" t="str">
        <f aca="false">IF(AND(ISNUMBER(B44),ISNUMBER(C44),C44&gt;B44),C44-B44,"")</f>
        <v/>
      </c>
      <c r="G44" s="13" t="str">
        <f aca="false">IF(ISNUMBER(F44),F44+ROW()/1000000,"")</f>
        <v/>
      </c>
    </row>
    <row r="45" customFormat="false" ht="15" hidden="false" customHeight="false" outlineLevel="0" collapsed="false">
      <c r="A45" s="10"/>
      <c r="B45" s="11"/>
      <c r="C45" s="11"/>
      <c r="D45" s="10"/>
      <c r="E45" s="10"/>
      <c r="F45" s="12" t="str">
        <f aca="false">IF(AND(ISNUMBER(B45),ISNUMBER(C45),C45&gt;B45),C45-B45,"")</f>
        <v/>
      </c>
      <c r="G45" s="13" t="str">
        <f aca="false">IF(ISNUMBER(F45),F45+ROW()/1000000,"")</f>
        <v/>
      </c>
    </row>
    <row r="46" customFormat="false" ht="15" hidden="false" customHeight="false" outlineLevel="0" collapsed="false">
      <c r="A46" s="10"/>
      <c r="B46" s="11"/>
      <c r="C46" s="11"/>
      <c r="D46" s="10"/>
      <c r="E46" s="10"/>
      <c r="F46" s="12" t="str">
        <f aca="false">IF(AND(ISNUMBER(B46),ISNUMBER(C46),C46&gt;B46),C46-B46,"")</f>
        <v/>
      </c>
      <c r="G46" s="13" t="str">
        <f aca="false">IF(ISNUMBER(F46),F46+ROW()/1000000,"")</f>
        <v/>
      </c>
    </row>
    <row r="47" customFormat="false" ht="15" hidden="false" customHeight="false" outlineLevel="0" collapsed="false">
      <c r="A47" s="10"/>
      <c r="B47" s="11"/>
      <c r="C47" s="11"/>
      <c r="D47" s="10"/>
      <c r="E47" s="10"/>
      <c r="F47" s="12" t="str">
        <f aca="false">IF(AND(ISNUMBER(B47),ISNUMBER(C47),C47&gt;B47),C47-B47,"")</f>
        <v/>
      </c>
      <c r="G47" s="13" t="str">
        <f aca="false">IF(ISNUMBER(F47),F47+ROW()/1000000,"")</f>
        <v/>
      </c>
    </row>
    <row r="48" customFormat="false" ht="15" hidden="false" customHeight="false" outlineLevel="0" collapsed="false">
      <c r="A48" s="10"/>
      <c r="B48" s="11"/>
      <c r="C48" s="11"/>
      <c r="D48" s="10"/>
      <c r="E48" s="10"/>
      <c r="F48" s="12" t="str">
        <f aca="false">IF(AND(ISNUMBER(B48),ISNUMBER(C48),C48&gt;B48),C48-B48,"")</f>
        <v/>
      </c>
      <c r="G48" s="13" t="str">
        <f aca="false">IF(ISNUMBER(F48),F48+ROW()/1000000,"")</f>
        <v/>
      </c>
    </row>
    <row r="49" customFormat="false" ht="15" hidden="false" customHeight="false" outlineLevel="0" collapsed="false">
      <c r="A49" s="10"/>
      <c r="B49" s="11"/>
      <c r="C49" s="11"/>
      <c r="D49" s="10"/>
      <c r="E49" s="10"/>
      <c r="F49" s="12" t="str">
        <f aca="false">IF(AND(ISNUMBER(B49),ISNUMBER(C49),C49&gt;B49),C49-B49,"")</f>
        <v/>
      </c>
      <c r="G49" s="13" t="str">
        <f aca="false">IF(ISNUMBER(F49),F49+ROW()/1000000,"")</f>
        <v/>
      </c>
    </row>
    <row r="50" customFormat="false" ht="15" hidden="false" customHeight="false" outlineLevel="0" collapsed="false">
      <c r="A50" s="10"/>
      <c r="B50" s="11"/>
      <c r="C50" s="11"/>
      <c r="D50" s="10"/>
      <c r="E50" s="10"/>
      <c r="F50" s="12" t="str">
        <f aca="false">IF(AND(ISNUMBER(B50),ISNUMBER(C50),C50&gt;B50),C50-B50,"")</f>
        <v/>
      </c>
      <c r="G50" s="13" t="str">
        <f aca="false">IF(ISNUMBER(F50),F50+ROW()/1000000,"")</f>
        <v/>
      </c>
    </row>
    <row r="51" customFormat="false" ht="15" hidden="false" customHeight="false" outlineLevel="0" collapsed="false">
      <c r="A51" s="10"/>
      <c r="B51" s="11"/>
      <c r="C51" s="11"/>
      <c r="D51" s="10"/>
      <c r="E51" s="10"/>
      <c r="F51" s="12" t="str">
        <f aca="false">IF(AND(ISNUMBER(B51),ISNUMBER(C51),C51&gt;B51),C51-B51,"")</f>
        <v/>
      </c>
      <c r="G51" s="13" t="str">
        <f aca="false">IF(ISNUMBER(F51),F51+ROW()/1000000,"")</f>
        <v/>
      </c>
    </row>
    <row r="52" customFormat="false" ht="15" hidden="false" customHeight="false" outlineLevel="0" collapsed="false">
      <c r="A52" s="10"/>
      <c r="B52" s="11"/>
      <c r="C52" s="11"/>
      <c r="D52" s="10"/>
      <c r="E52" s="10"/>
      <c r="F52" s="12" t="str">
        <f aca="false">IF(AND(ISNUMBER(B52),ISNUMBER(C52),C52&gt;B52),C52-B52,"")</f>
        <v/>
      </c>
      <c r="G52" s="13" t="str">
        <f aca="false">IF(ISNUMBER(F52),F52+ROW()/1000000,"")</f>
        <v/>
      </c>
    </row>
    <row r="53" customFormat="false" ht="15" hidden="false" customHeight="false" outlineLevel="0" collapsed="false">
      <c r="A53" s="10"/>
      <c r="B53" s="11"/>
      <c r="C53" s="11"/>
      <c r="D53" s="10"/>
      <c r="E53" s="10"/>
      <c r="F53" s="12" t="str">
        <f aca="false">IF(AND(ISNUMBER(B53),ISNUMBER(C53),C53&gt;B53),C53-B53,"")</f>
        <v/>
      </c>
      <c r="G53" s="13" t="str">
        <f aca="false">IF(ISNUMBER(F53),F53+ROW()/1000000,"")</f>
        <v/>
      </c>
    </row>
    <row r="54" customFormat="false" ht="15" hidden="false" customHeight="false" outlineLevel="0" collapsed="false">
      <c r="A54" s="10"/>
      <c r="B54" s="11"/>
      <c r="C54" s="11"/>
      <c r="D54" s="10"/>
      <c r="E54" s="10"/>
      <c r="F54" s="12" t="str">
        <f aca="false">IF(AND(ISNUMBER(B54),ISNUMBER(C54),C54&gt;B54),C54-B54,"")</f>
        <v/>
      </c>
      <c r="G54" s="13" t="str">
        <f aca="false">IF(ISNUMBER(F54),F54+ROW()/1000000,"")</f>
        <v/>
      </c>
    </row>
    <row r="55" customFormat="false" ht="15" hidden="false" customHeight="false" outlineLevel="0" collapsed="false">
      <c r="A55" s="10"/>
      <c r="B55" s="11"/>
      <c r="C55" s="11"/>
      <c r="D55" s="10"/>
      <c r="E55" s="10"/>
      <c r="F55" s="12" t="str">
        <f aca="false">IF(AND(ISNUMBER(B55),ISNUMBER(C55),C55&gt;B55),C55-B55,"")</f>
        <v/>
      </c>
      <c r="G55" s="13" t="str">
        <f aca="false">IF(ISNUMBER(F55),F55+ROW()/1000000,"")</f>
        <v/>
      </c>
    </row>
    <row r="56" customFormat="false" ht="15" hidden="false" customHeight="false" outlineLevel="0" collapsed="false">
      <c r="A56" s="10"/>
      <c r="B56" s="11"/>
      <c r="C56" s="11"/>
      <c r="D56" s="10"/>
      <c r="E56" s="10"/>
      <c r="F56" s="12" t="str">
        <f aca="false">IF(AND(ISNUMBER(B56),ISNUMBER(C56),C56&gt;B56),C56-B56,"")</f>
        <v/>
      </c>
      <c r="G56" s="13" t="str">
        <f aca="false">IF(ISNUMBER(F56),F56+ROW()/1000000,"")</f>
        <v/>
      </c>
    </row>
    <row r="57" customFormat="false" ht="15" hidden="false" customHeight="false" outlineLevel="0" collapsed="false">
      <c r="A57" s="10"/>
      <c r="B57" s="11"/>
      <c r="C57" s="11"/>
      <c r="D57" s="10"/>
      <c r="E57" s="10"/>
      <c r="F57" s="12" t="str">
        <f aca="false">IF(AND(ISNUMBER(B57),ISNUMBER(C57),C57&gt;B57),C57-B57,"")</f>
        <v/>
      </c>
      <c r="G57" s="13" t="str">
        <f aca="false">IF(ISNUMBER(F57),F57+ROW()/1000000,"")</f>
        <v/>
      </c>
    </row>
    <row r="58" customFormat="false" ht="15" hidden="false" customHeight="false" outlineLevel="0" collapsed="false">
      <c r="A58" s="10"/>
      <c r="B58" s="11"/>
      <c r="C58" s="11"/>
      <c r="D58" s="10"/>
      <c r="E58" s="10"/>
      <c r="F58" s="12" t="str">
        <f aca="false">IF(AND(ISNUMBER(B58),ISNUMBER(C58),C58&gt;B58),C58-B58,"")</f>
        <v/>
      </c>
      <c r="G58" s="13" t="str">
        <f aca="false">IF(ISNUMBER(F58),F58+ROW()/1000000,"")</f>
        <v/>
      </c>
    </row>
    <row r="59" customFormat="false" ht="15" hidden="false" customHeight="false" outlineLevel="0" collapsed="false">
      <c r="A59" s="10"/>
      <c r="B59" s="11"/>
      <c r="C59" s="11"/>
      <c r="D59" s="10"/>
      <c r="E59" s="10"/>
      <c r="F59" s="12" t="str">
        <f aca="false">IF(AND(ISNUMBER(B59),ISNUMBER(C59),C59&gt;B59),C59-B59,"")</f>
        <v/>
      </c>
      <c r="G59" s="13" t="str">
        <f aca="false">IF(ISNUMBER(F59),F59+ROW()/1000000,"")</f>
        <v/>
      </c>
    </row>
    <row r="60" customFormat="false" ht="15" hidden="false" customHeight="false" outlineLevel="0" collapsed="false">
      <c r="A60" s="10"/>
      <c r="B60" s="11"/>
      <c r="C60" s="11"/>
      <c r="D60" s="10"/>
      <c r="E60" s="10"/>
      <c r="F60" s="12" t="str">
        <f aca="false">IF(AND(ISNUMBER(B60),ISNUMBER(C60),C60&gt;B60),C60-B60,"")</f>
        <v/>
      </c>
      <c r="G60" s="13" t="str">
        <f aca="false">IF(ISNUMBER(F60),F60+ROW()/1000000,"")</f>
        <v/>
      </c>
    </row>
    <row r="61" customFormat="false" ht="15" hidden="false" customHeight="false" outlineLevel="0" collapsed="false">
      <c r="A61" s="10"/>
      <c r="B61" s="11"/>
      <c r="C61" s="11"/>
      <c r="D61" s="10"/>
      <c r="E61" s="10"/>
      <c r="F61" s="12" t="str">
        <f aca="false">IF(AND(ISNUMBER(B61),ISNUMBER(C61),C61&gt;B61),C61-B61,"")</f>
        <v/>
      </c>
      <c r="G61" s="13" t="str">
        <f aca="false">IF(ISNUMBER(F61),F61+ROW()/1000000,"")</f>
        <v/>
      </c>
    </row>
    <row r="62" customFormat="false" ht="15" hidden="false" customHeight="false" outlineLevel="0" collapsed="false">
      <c r="A62" s="10"/>
      <c r="B62" s="11"/>
      <c r="C62" s="11"/>
      <c r="D62" s="10"/>
      <c r="E62" s="10"/>
      <c r="F62" s="12" t="str">
        <f aca="false">IF(AND(ISNUMBER(B62),ISNUMBER(C62),C62&gt;B62),C62-B62,"")</f>
        <v/>
      </c>
      <c r="G62" s="13" t="str">
        <f aca="false">IF(ISNUMBER(F62),F62+ROW()/1000000,"")</f>
        <v/>
      </c>
    </row>
    <row r="63" customFormat="false" ht="15" hidden="false" customHeight="false" outlineLevel="0" collapsed="false">
      <c r="A63" s="10"/>
      <c r="B63" s="11"/>
      <c r="C63" s="11"/>
      <c r="D63" s="10"/>
      <c r="E63" s="10"/>
      <c r="F63" s="12" t="str">
        <f aca="false">IF(AND(ISNUMBER(B63),ISNUMBER(C63),C63&gt;B63),C63-B63,"")</f>
        <v/>
      </c>
      <c r="G63" s="13" t="str">
        <f aca="false">IF(ISNUMBER(F63),F63+ROW()/1000000,"")</f>
        <v/>
      </c>
    </row>
    <row r="64" customFormat="false" ht="15" hidden="false" customHeight="false" outlineLevel="0" collapsed="false">
      <c r="A64" s="10"/>
      <c r="B64" s="11"/>
      <c r="C64" s="11"/>
      <c r="D64" s="10"/>
      <c r="E64" s="10"/>
      <c r="F64" s="12" t="str">
        <f aca="false">IF(AND(ISNUMBER(B64),ISNUMBER(C64),C64&gt;B64),C64-B64,"")</f>
        <v/>
      </c>
      <c r="G64" s="13" t="str">
        <f aca="false">IF(ISNUMBER(F64),F64+ROW()/1000000,"")</f>
        <v/>
      </c>
    </row>
    <row r="65" customFormat="false" ht="15" hidden="false" customHeight="false" outlineLevel="0" collapsed="false">
      <c r="A65" s="10"/>
      <c r="B65" s="11"/>
      <c r="C65" s="11"/>
      <c r="D65" s="10"/>
      <c r="E65" s="10"/>
      <c r="F65" s="12" t="str">
        <f aca="false">IF(AND(ISNUMBER(B65),ISNUMBER(C65),C65&gt;B65),C65-B65,"")</f>
        <v/>
      </c>
      <c r="G65" s="13" t="str">
        <f aca="false">IF(ISNUMBER(F65),F65+ROW()/1000000,"")</f>
        <v/>
      </c>
    </row>
    <row r="66" customFormat="false" ht="15" hidden="false" customHeight="false" outlineLevel="0" collapsed="false">
      <c r="A66" s="10"/>
      <c r="B66" s="11"/>
      <c r="C66" s="11"/>
      <c r="D66" s="10"/>
      <c r="E66" s="10"/>
      <c r="F66" s="12" t="str">
        <f aca="false">IF(AND(ISNUMBER(B66),ISNUMBER(C66),C66&gt;B66),C66-B66,"")</f>
        <v/>
      </c>
      <c r="G66" s="13" t="str">
        <f aca="false">IF(ISNUMBER(F66),F66+ROW()/1000000,"")</f>
        <v/>
      </c>
    </row>
    <row r="67" customFormat="false" ht="15" hidden="false" customHeight="false" outlineLevel="0" collapsed="false">
      <c r="A67" s="10"/>
      <c r="B67" s="11"/>
      <c r="C67" s="11"/>
      <c r="D67" s="10"/>
      <c r="E67" s="10"/>
      <c r="F67" s="12" t="str">
        <f aca="false">IF(AND(ISNUMBER(B67),ISNUMBER(C67),C67&gt;B67),C67-B67,"")</f>
        <v/>
      </c>
      <c r="G67" s="13" t="str">
        <f aca="false">IF(ISNUMBER(F67),F67+ROW()/1000000,"")</f>
        <v/>
      </c>
    </row>
    <row r="68" customFormat="false" ht="15" hidden="false" customHeight="false" outlineLevel="0" collapsed="false">
      <c r="A68" s="10"/>
      <c r="B68" s="11"/>
      <c r="C68" s="11"/>
      <c r="D68" s="10"/>
      <c r="E68" s="10"/>
      <c r="F68" s="12" t="str">
        <f aca="false">IF(AND(ISNUMBER(B68),ISNUMBER(C68),C68&gt;B68),C68-B68,"")</f>
        <v/>
      </c>
      <c r="G68" s="13" t="str">
        <f aca="false">IF(ISNUMBER(F68),F68+ROW()/1000000,"")</f>
        <v/>
      </c>
    </row>
    <row r="69" customFormat="false" ht="15" hidden="false" customHeight="false" outlineLevel="0" collapsed="false">
      <c r="A69" s="10"/>
      <c r="B69" s="11"/>
      <c r="C69" s="11"/>
      <c r="D69" s="10"/>
      <c r="E69" s="10"/>
      <c r="F69" s="12" t="str">
        <f aca="false">IF(AND(ISNUMBER(B69),ISNUMBER(C69),C69&gt;B69),C69-B69,"")</f>
        <v/>
      </c>
      <c r="G69" s="13" t="str">
        <f aca="false">IF(ISNUMBER(F69),F69+ROW()/1000000,"")</f>
        <v/>
      </c>
    </row>
    <row r="70" customFormat="false" ht="15" hidden="false" customHeight="false" outlineLevel="0" collapsed="false">
      <c r="A70" s="10"/>
      <c r="B70" s="11"/>
      <c r="C70" s="11"/>
      <c r="D70" s="10"/>
      <c r="E70" s="10"/>
      <c r="F70" s="12" t="str">
        <f aca="false">IF(AND(ISNUMBER(B70),ISNUMBER(C70),C70&gt;B70),C70-B70,"")</f>
        <v/>
      </c>
      <c r="G70" s="13" t="str">
        <f aca="false">IF(ISNUMBER(F70),F70+ROW()/1000000,"")</f>
        <v/>
      </c>
    </row>
    <row r="71" customFormat="false" ht="15" hidden="false" customHeight="false" outlineLevel="0" collapsed="false">
      <c r="A71" s="10"/>
      <c r="B71" s="11"/>
      <c r="C71" s="11"/>
      <c r="D71" s="10"/>
      <c r="E71" s="10"/>
      <c r="F71" s="12" t="str">
        <f aca="false">IF(AND(ISNUMBER(B71),ISNUMBER(C71),C71&gt;B71),C71-B71,"")</f>
        <v/>
      </c>
      <c r="G71" s="13" t="str">
        <f aca="false">IF(ISNUMBER(F71),F71+ROW()/1000000,"")</f>
        <v/>
      </c>
    </row>
    <row r="72" customFormat="false" ht="15" hidden="false" customHeight="false" outlineLevel="0" collapsed="false">
      <c r="A72" s="10"/>
      <c r="B72" s="11"/>
      <c r="C72" s="11"/>
      <c r="D72" s="10"/>
      <c r="E72" s="10"/>
      <c r="F72" s="12" t="str">
        <f aca="false">IF(AND(ISNUMBER(B72),ISNUMBER(C72),C72&gt;B72),C72-B72,"")</f>
        <v/>
      </c>
      <c r="G72" s="13" t="str">
        <f aca="false">IF(ISNUMBER(F72),F72+ROW()/1000000,"")</f>
        <v/>
      </c>
    </row>
    <row r="73" customFormat="false" ht="15" hidden="false" customHeight="false" outlineLevel="0" collapsed="false">
      <c r="A73" s="10"/>
      <c r="B73" s="11"/>
      <c r="C73" s="11"/>
      <c r="D73" s="10"/>
      <c r="E73" s="10"/>
      <c r="F73" s="12" t="str">
        <f aca="false">IF(AND(ISNUMBER(B73),ISNUMBER(C73),C73&gt;B73),C73-B73,"")</f>
        <v/>
      </c>
      <c r="G73" s="13" t="str">
        <f aca="false">IF(ISNUMBER(F73),F73+ROW()/1000000,"")</f>
        <v/>
      </c>
    </row>
    <row r="74" customFormat="false" ht="15" hidden="false" customHeight="false" outlineLevel="0" collapsed="false">
      <c r="A74" s="10"/>
      <c r="B74" s="11"/>
      <c r="C74" s="11"/>
      <c r="D74" s="10"/>
      <c r="E74" s="10"/>
      <c r="F74" s="12" t="str">
        <f aca="false">IF(AND(ISNUMBER(B74),ISNUMBER(C74),C74&gt;B74),C74-B74,"")</f>
        <v/>
      </c>
      <c r="G74" s="13" t="str">
        <f aca="false">IF(ISNUMBER(F74),F74+ROW()/1000000,"")</f>
        <v/>
      </c>
    </row>
    <row r="75" customFormat="false" ht="15" hidden="false" customHeight="false" outlineLevel="0" collapsed="false">
      <c r="A75" s="10"/>
      <c r="B75" s="11"/>
      <c r="C75" s="11"/>
      <c r="D75" s="10"/>
      <c r="E75" s="10"/>
      <c r="F75" s="12" t="str">
        <f aca="false">IF(AND(ISNUMBER(B75),ISNUMBER(C75),C75&gt;B75),C75-B75,"")</f>
        <v/>
      </c>
      <c r="G75" s="13" t="str">
        <f aca="false">IF(ISNUMBER(F75),F75+ROW()/1000000,"")</f>
        <v/>
      </c>
    </row>
    <row r="76" customFormat="false" ht="15" hidden="false" customHeight="false" outlineLevel="0" collapsed="false">
      <c r="A76" s="10"/>
      <c r="B76" s="11"/>
      <c r="C76" s="11"/>
      <c r="D76" s="10"/>
      <c r="E76" s="10"/>
      <c r="F76" s="12" t="str">
        <f aca="false">IF(AND(ISNUMBER(B76),ISNUMBER(C76),C76&gt;B76),C76-B76,"")</f>
        <v/>
      </c>
      <c r="G76" s="13" t="str">
        <f aca="false">IF(ISNUMBER(F76),F76+ROW()/1000000,"")</f>
        <v/>
      </c>
    </row>
    <row r="77" customFormat="false" ht="15" hidden="false" customHeight="false" outlineLevel="0" collapsed="false">
      <c r="A77" s="10"/>
      <c r="B77" s="11"/>
      <c r="C77" s="11"/>
      <c r="D77" s="10"/>
      <c r="E77" s="10"/>
      <c r="F77" s="12" t="str">
        <f aca="false">IF(AND(ISNUMBER(B77),ISNUMBER(C77),C77&gt;B77),C77-B77,"")</f>
        <v/>
      </c>
      <c r="G77" s="13" t="str">
        <f aca="false">IF(ISNUMBER(F77),F77+ROW()/1000000,"")</f>
        <v/>
      </c>
    </row>
    <row r="78" customFormat="false" ht="15" hidden="false" customHeight="false" outlineLevel="0" collapsed="false">
      <c r="A78" s="10"/>
      <c r="B78" s="11"/>
      <c r="C78" s="11"/>
      <c r="D78" s="10"/>
      <c r="E78" s="10"/>
      <c r="F78" s="12" t="str">
        <f aca="false">IF(AND(ISNUMBER(B78),ISNUMBER(C78),C78&gt;B78),C78-B78,"")</f>
        <v/>
      </c>
      <c r="G78" s="13" t="str">
        <f aca="false">IF(ISNUMBER(F78),F78+ROW()/1000000,"")</f>
        <v/>
      </c>
    </row>
    <row r="79" customFormat="false" ht="15" hidden="false" customHeight="false" outlineLevel="0" collapsed="false">
      <c r="A79" s="10"/>
      <c r="B79" s="11"/>
      <c r="C79" s="11"/>
      <c r="D79" s="10"/>
      <c r="E79" s="10"/>
      <c r="F79" s="12" t="str">
        <f aca="false">IF(AND(ISNUMBER(B79),ISNUMBER(C79),C79&gt;B79),C79-B79,"")</f>
        <v/>
      </c>
      <c r="G79" s="13" t="str">
        <f aca="false">IF(ISNUMBER(F79),F79+ROW()/1000000,"")</f>
        <v/>
      </c>
    </row>
    <row r="80" customFormat="false" ht="15" hidden="false" customHeight="false" outlineLevel="0" collapsed="false">
      <c r="A80" s="10"/>
      <c r="B80" s="11"/>
      <c r="C80" s="11"/>
      <c r="D80" s="10"/>
      <c r="E80" s="10"/>
      <c r="F80" s="12" t="str">
        <f aca="false">IF(AND(ISNUMBER(B80),ISNUMBER(C80),C80&gt;B80),C80-B80,"")</f>
        <v/>
      </c>
      <c r="G80" s="13" t="str">
        <f aca="false">IF(ISNUMBER(F80),F80+ROW()/1000000,"")</f>
        <v/>
      </c>
    </row>
    <row r="81" customFormat="false" ht="15" hidden="false" customHeight="false" outlineLevel="0" collapsed="false">
      <c r="A81" s="10"/>
      <c r="B81" s="11"/>
      <c r="C81" s="11"/>
      <c r="D81" s="10"/>
      <c r="E81" s="10"/>
      <c r="F81" s="12" t="str">
        <f aca="false">IF(AND(ISNUMBER(B81),ISNUMBER(C81),C81&gt;B81),C81-B81,"")</f>
        <v/>
      </c>
      <c r="G81" s="13" t="str">
        <f aca="false">IF(ISNUMBER(F81),F81+ROW()/1000000,"")</f>
        <v/>
      </c>
    </row>
    <row r="82" customFormat="false" ht="15" hidden="false" customHeight="false" outlineLevel="0" collapsed="false">
      <c r="A82" s="10"/>
      <c r="B82" s="11"/>
      <c r="C82" s="11"/>
      <c r="D82" s="10"/>
      <c r="E82" s="10"/>
      <c r="F82" s="12" t="str">
        <f aca="false">IF(AND(ISNUMBER(B82),ISNUMBER(C82),C82&gt;B82),C82-B82,"")</f>
        <v/>
      </c>
      <c r="G82" s="13" t="str">
        <f aca="false">IF(ISNUMBER(F82),F82+ROW()/1000000,"")</f>
        <v/>
      </c>
    </row>
    <row r="83" customFormat="false" ht="15" hidden="false" customHeight="false" outlineLevel="0" collapsed="false">
      <c r="A83" s="10"/>
      <c r="B83" s="11"/>
      <c r="C83" s="11"/>
      <c r="D83" s="10"/>
      <c r="E83" s="10"/>
      <c r="F83" s="12" t="str">
        <f aca="false">IF(AND(ISNUMBER(B83),ISNUMBER(C83),C83&gt;B83),C83-B83,"")</f>
        <v/>
      </c>
      <c r="G83" s="13" t="str">
        <f aca="false">IF(ISNUMBER(F83),F83+ROW()/1000000,"")</f>
        <v/>
      </c>
    </row>
    <row r="84" customFormat="false" ht="15" hidden="false" customHeight="false" outlineLevel="0" collapsed="false">
      <c r="A84" s="10"/>
      <c r="B84" s="11"/>
      <c r="C84" s="11"/>
      <c r="D84" s="10"/>
      <c r="E84" s="10"/>
      <c r="F84" s="12" t="str">
        <f aca="false">IF(AND(ISNUMBER(B84),ISNUMBER(C84),C84&gt;B84),C84-B84,"")</f>
        <v/>
      </c>
      <c r="G84" s="13" t="str">
        <f aca="false">IF(ISNUMBER(F84),F84+ROW()/1000000,"")</f>
        <v/>
      </c>
    </row>
    <row r="85" customFormat="false" ht="15" hidden="false" customHeight="false" outlineLevel="0" collapsed="false">
      <c r="A85" s="10"/>
      <c r="B85" s="11"/>
      <c r="C85" s="11"/>
      <c r="D85" s="10"/>
      <c r="E85" s="10"/>
      <c r="F85" s="12" t="str">
        <f aca="false">IF(AND(ISNUMBER(B85),ISNUMBER(C85),C85&gt;B85),C85-B85,"")</f>
        <v/>
      </c>
      <c r="G85" s="13" t="str">
        <f aca="false">IF(ISNUMBER(F85),F85+ROW()/1000000,"")</f>
        <v/>
      </c>
    </row>
    <row r="86" customFormat="false" ht="15" hidden="false" customHeight="false" outlineLevel="0" collapsed="false">
      <c r="A86" s="10"/>
      <c r="B86" s="11"/>
      <c r="C86" s="11"/>
      <c r="D86" s="10"/>
      <c r="E86" s="10"/>
      <c r="F86" s="12" t="str">
        <f aca="false">IF(AND(ISNUMBER(B86),ISNUMBER(C86),C86&gt;B86),C86-B86,"")</f>
        <v/>
      </c>
      <c r="G86" s="13" t="str">
        <f aca="false">IF(ISNUMBER(F86),F86+ROW()/1000000,"")</f>
        <v/>
      </c>
    </row>
    <row r="87" customFormat="false" ht="15" hidden="false" customHeight="false" outlineLevel="0" collapsed="false">
      <c r="A87" s="10"/>
      <c r="B87" s="11"/>
      <c r="C87" s="11"/>
      <c r="D87" s="10"/>
      <c r="E87" s="10"/>
      <c r="F87" s="12" t="str">
        <f aca="false">IF(AND(ISNUMBER(B87),ISNUMBER(C87),C87&gt;B87),C87-B87,"")</f>
        <v/>
      </c>
      <c r="G87" s="13" t="str">
        <f aca="false">IF(ISNUMBER(F87),F87+ROW()/1000000,"")</f>
        <v/>
      </c>
    </row>
    <row r="88" customFormat="false" ht="15" hidden="false" customHeight="false" outlineLevel="0" collapsed="false">
      <c r="A88" s="10"/>
      <c r="B88" s="11"/>
      <c r="C88" s="11"/>
      <c r="D88" s="10"/>
      <c r="E88" s="10"/>
      <c r="F88" s="12" t="str">
        <f aca="false">IF(AND(ISNUMBER(B88),ISNUMBER(C88),C88&gt;B88),C88-B88,"")</f>
        <v/>
      </c>
      <c r="G88" s="13" t="str">
        <f aca="false">IF(ISNUMBER(F88),F88+ROW()/1000000,"")</f>
        <v/>
      </c>
    </row>
    <row r="89" customFormat="false" ht="15" hidden="false" customHeight="false" outlineLevel="0" collapsed="false">
      <c r="A89" s="10"/>
      <c r="B89" s="11"/>
      <c r="C89" s="11"/>
      <c r="D89" s="10"/>
      <c r="E89" s="10"/>
      <c r="F89" s="12" t="str">
        <f aca="false">IF(AND(ISNUMBER(B89),ISNUMBER(C89),C89&gt;B89),C89-B89,"")</f>
        <v/>
      </c>
      <c r="G89" s="13" t="str">
        <f aca="false">IF(ISNUMBER(F89),F89+ROW()/1000000,"")</f>
        <v/>
      </c>
    </row>
    <row r="90" customFormat="false" ht="15" hidden="false" customHeight="false" outlineLevel="0" collapsed="false">
      <c r="A90" s="10"/>
      <c r="B90" s="11"/>
      <c r="C90" s="11"/>
      <c r="D90" s="10"/>
      <c r="E90" s="10"/>
      <c r="F90" s="12" t="str">
        <f aca="false">IF(AND(ISNUMBER(B90),ISNUMBER(C90),C90&gt;B90),C90-B90,"")</f>
        <v/>
      </c>
      <c r="G90" s="13" t="str">
        <f aca="false">IF(ISNUMBER(F90),F90+ROW()/1000000,"")</f>
        <v/>
      </c>
    </row>
    <row r="91" customFormat="false" ht="15" hidden="false" customHeight="false" outlineLevel="0" collapsed="false">
      <c r="A91" s="10"/>
      <c r="B91" s="11"/>
      <c r="C91" s="11"/>
      <c r="D91" s="10"/>
      <c r="E91" s="10"/>
      <c r="F91" s="12" t="str">
        <f aca="false">IF(AND(ISNUMBER(B91),ISNUMBER(C91),C91&gt;B91),C91-B91,"")</f>
        <v/>
      </c>
      <c r="G91" s="13" t="str">
        <f aca="false">IF(ISNUMBER(F91),F91+ROW()/1000000,"")</f>
        <v/>
      </c>
    </row>
    <row r="92" customFormat="false" ht="15" hidden="false" customHeight="false" outlineLevel="0" collapsed="false">
      <c r="A92" s="10"/>
      <c r="B92" s="11"/>
      <c r="C92" s="11"/>
      <c r="D92" s="10"/>
      <c r="E92" s="10"/>
      <c r="F92" s="12" t="str">
        <f aca="false">IF(AND(ISNUMBER(B92),ISNUMBER(C92),C92&gt;B92),C92-B92,"")</f>
        <v/>
      </c>
      <c r="G92" s="13" t="str">
        <f aca="false">IF(ISNUMBER(F92),F92+ROW()/1000000,"")</f>
        <v/>
      </c>
    </row>
    <row r="93" customFormat="false" ht="15" hidden="false" customHeight="false" outlineLevel="0" collapsed="false">
      <c r="A93" s="10"/>
      <c r="B93" s="11"/>
      <c r="C93" s="11"/>
      <c r="D93" s="10"/>
      <c r="E93" s="10"/>
      <c r="F93" s="12" t="str">
        <f aca="false">IF(AND(ISNUMBER(B93),ISNUMBER(C93),C93&gt;B93),C93-B93,"")</f>
        <v/>
      </c>
      <c r="G93" s="13" t="str">
        <f aca="false">IF(ISNUMBER(F93),F93+ROW()/1000000,"")</f>
        <v/>
      </c>
    </row>
    <row r="94" customFormat="false" ht="15" hidden="false" customHeight="false" outlineLevel="0" collapsed="false">
      <c r="A94" s="10"/>
      <c r="B94" s="11"/>
      <c r="C94" s="11"/>
      <c r="D94" s="10"/>
      <c r="E94" s="10"/>
      <c r="F94" s="12" t="str">
        <f aca="false">IF(AND(ISNUMBER(B94),ISNUMBER(C94),C94&gt;B94),C94-B94,"")</f>
        <v/>
      </c>
      <c r="G94" s="13" t="str">
        <f aca="false">IF(ISNUMBER(F94),F94+ROW()/1000000,"")</f>
        <v/>
      </c>
    </row>
    <row r="95" customFormat="false" ht="15" hidden="false" customHeight="false" outlineLevel="0" collapsed="false">
      <c r="A95" s="10"/>
      <c r="B95" s="11"/>
      <c r="C95" s="11"/>
      <c r="D95" s="10"/>
      <c r="E95" s="10"/>
      <c r="F95" s="12" t="str">
        <f aca="false">IF(AND(ISNUMBER(B95),ISNUMBER(C95),C95&gt;B95),C95-B95,"")</f>
        <v/>
      </c>
      <c r="G95" s="13" t="str">
        <f aca="false">IF(ISNUMBER(F95),F95+ROW()/1000000,"")</f>
        <v/>
      </c>
    </row>
    <row r="96" customFormat="false" ht="15" hidden="false" customHeight="false" outlineLevel="0" collapsed="false">
      <c r="A96" s="10"/>
      <c r="B96" s="11"/>
      <c r="C96" s="11"/>
      <c r="D96" s="10"/>
      <c r="E96" s="10"/>
      <c r="F96" s="12" t="str">
        <f aca="false">IF(AND(ISNUMBER(B96),ISNUMBER(C96),C96&gt;B96),C96-B96,"")</f>
        <v/>
      </c>
      <c r="G96" s="13" t="str">
        <f aca="false">IF(ISNUMBER(F96),F96+ROW()/1000000,"")</f>
        <v/>
      </c>
    </row>
    <row r="97" customFormat="false" ht="15" hidden="false" customHeight="false" outlineLevel="0" collapsed="false">
      <c r="A97" s="10"/>
      <c r="B97" s="11"/>
      <c r="C97" s="11"/>
      <c r="D97" s="10"/>
      <c r="E97" s="10"/>
      <c r="F97" s="12" t="str">
        <f aca="false">IF(AND(ISNUMBER(B97),ISNUMBER(C97),C97&gt;B97),C97-B97,"")</f>
        <v/>
      </c>
      <c r="G97" s="13" t="str">
        <f aca="false">IF(ISNUMBER(F97),F97+ROW()/1000000,"")</f>
        <v/>
      </c>
    </row>
    <row r="98" customFormat="false" ht="15" hidden="false" customHeight="false" outlineLevel="0" collapsed="false">
      <c r="A98" s="10"/>
      <c r="B98" s="11"/>
      <c r="C98" s="11"/>
      <c r="D98" s="10"/>
      <c r="E98" s="10"/>
      <c r="F98" s="12" t="str">
        <f aca="false">IF(AND(ISNUMBER(B98),ISNUMBER(C98),C98&gt;B98),C98-B98,"")</f>
        <v/>
      </c>
      <c r="G98" s="13" t="str">
        <f aca="false">IF(ISNUMBER(F98),F98+ROW()/1000000,"")</f>
        <v/>
      </c>
    </row>
    <row r="99" customFormat="false" ht="15" hidden="false" customHeight="false" outlineLevel="0" collapsed="false">
      <c r="A99" s="10"/>
      <c r="B99" s="11"/>
      <c r="C99" s="11"/>
      <c r="D99" s="10"/>
      <c r="E99" s="10"/>
      <c r="F99" s="12" t="str">
        <f aca="false">IF(AND(ISNUMBER(B99),ISNUMBER(C99),C99&gt;B99),C99-B99,"")</f>
        <v/>
      </c>
      <c r="G99" s="13" t="str">
        <f aca="false">IF(ISNUMBER(F99),F99+ROW()/1000000,"")</f>
        <v/>
      </c>
    </row>
    <row r="100" customFormat="false" ht="15" hidden="false" customHeight="false" outlineLevel="0" collapsed="false">
      <c r="A100" s="10"/>
      <c r="B100" s="11"/>
      <c r="C100" s="11"/>
      <c r="D100" s="10"/>
      <c r="E100" s="10"/>
      <c r="F100" s="12" t="str">
        <f aca="false">IF(AND(ISNUMBER(B100),ISNUMBER(C100),C100&gt;B100),C100-B100,"")</f>
        <v/>
      </c>
      <c r="G100" s="13" t="str">
        <f aca="false">IF(ISNUMBER(F100),F100+ROW()/1000000,"")</f>
        <v/>
      </c>
    </row>
    <row r="101" customFormat="false" ht="15" hidden="false" customHeight="false" outlineLevel="0" collapsed="false">
      <c r="A101" s="10"/>
      <c r="B101" s="11"/>
      <c r="C101" s="11"/>
      <c r="D101" s="10"/>
      <c r="E101" s="10"/>
      <c r="F101" s="12" t="str">
        <f aca="false">IF(AND(ISNUMBER(B101),ISNUMBER(C101),C101&gt;B101),C101-B101,"")</f>
        <v/>
      </c>
      <c r="G101" s="13" t="str">
        <f aca="false">IF(ISNUMBER(F101),F101+ROW()/1000000,"")</f>
        <v/>
      </c>
    </row>
    <row r="102" customFormat="false" ht="15" hidden="false" customHeight="false" outlineLevel="0" collapsed="false">
      <c r="A102" s="10"/>
      <c r="B102" s="11"/>
      <c r="C102" s="11"/>
      <c r="D102" s="10"/>
      <c r="E102" s="10"/>
      <c r="F102" s="12" t="str">
        <f aca="false">IF(AND(ISNUMBER(B102),ISNUMBER(C102),C102&gt;B102),C102-B102,"")</f>
        <v/>
      </c>
      <c r="G102" s="13" t="str">
        <f aca="false">IF(ISNUMBER(F102),F102+ROW()/1000000,"")</f>
        <v/>
      </c>
    </row>
    <row r="103" customFormat="false" ht="15" hidden="false" customHeight="false" outlineLevel="0" collapsed="false">
      <c r="A103" s="10"/>
      <c r="B103" s="11"/>
      <c r="C103" s="11"/>
      <c r="D103" s="10"/>
      <c r="E103" s="10"/>
      <c r="F103" s="12" t="str">
        <f aca="false">IF(AND(ISNUMBER(B103),ISNUMBER(C103),C103&gt;B103),C103-B103,"")</f>
        <v/>
      </c>
      <c r="G103" s="13" t="str">
        <f aca="false">IF(ISNUMBER(F103),F103+ROW()/1000000,"")</f>
        <v/>
      </c>
    </row>
    <row r="104" customFormat="false" ht="15" hidden="false" customHeight="false" outlineLevel="0" collapsed="false">
      <c r="A104" s="10"/>
      <c r="B104" s="11"/>
      <c r="C104" s="11"/>
      <c r="D104" s="10"/>
      <c r="E104" s="10"/>
      <c r="F104" s="12" t="str">
        <f aca="false">IF(AND(ISNUMBER(B104),ISNUMBER(C104),C104&gt;B104),C104-B104,"")</f>
        <v/>
      </c>
      <c r="G104" s="13" t="str">
        <f aca="false">IF(ISNUMBER(F104),F104+ROW()/1000000,"")</f>
        <v/>
      </c>
    </row>
    <row r="105" customFormat="false" ht="15" hidden="false" customHeight="false" outlineLevel="0" collapsed="false">
      <c r="A105" s="10"/>
      <c r="B105" s="11"/>
      <c r="C105" s="11"/>
      <c r="D105" s="10"/>
      <c r="E105" s="10"/>
      <c r="F105" s="12" t="str">
        <f aca="false">IF(AND(ISNUMBER(B105),ISNUMBER(C105),C105&gt;B105),C105-B105,"")</f>
        <v/>
      </c>
      <c r="G105" s="13" t="str">
        <f aca="false">IF(ISNUMBER(F105),F105+ROW()/1000000,"")</f>
        <v/>
      </c>
    </row>
  </sheetData>
  <dataValidations count="1">
    <dataValidation allowBlank="true" errorStyle="stop" operator="between" showDropDown="false" showErrorMessage="false" showInputMessage="false" sqref="D6:D105" type="list">
      <formula1>"Falla,Suspensión"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4"/>
    <col collapsed="false" customWidth="true" hidden="false" outlineLevel="0" max="9" min="3" style="0" width="13"/>
  </cols>
  <sheetData>
    <row r="1" customFormat="false" ht="15" hidden="false" customHeight="false" outlineLevel="0" collapsed="false">
      <c r="A1" s="14" t="s">
        <v>36</v>
      </c>
    </row>
    <row r="2" customFormat="false" ht="15" hidden="false" customHeight="false" outlineLevel="0" collapsed="false">
      <c r="A2" s="15" t="s">
        <v>37</v>
      </c>
    </row>
    <row r="4" customFormat="false" ht="15" hidden="false" customHeight="false" outlineLevel="0" collapsed="false">
      <c r="A4" s="4" t="s">
        <v>38</v>
      </c>
      <c r="B4" s="16" t="n">
        <f aca="false">COUNT(Datos!F6:F105)</f>
        <v>8</v>
      </c>
    </row>
    <row r="5" customFormat="false" ht="15" hidden="false" customHeight="false" outlineLevel="0" collapsed="false">
      <c r="A5" s="4" t="s">
        <v>39</v>
      </c>
      <c r="B5" s="16" t="n">
        <f aca="false">COUNTIFS(Datos!D6:D105,"Falla",Datos!F6:F105,"&gt;0")</f>
        <v>6</v>
      </c>
    </row>
    <row r="6" customFormat="false" ht="15" hidden="false" customHeight="false" outlineLevel="0" collapsed="false">
      <c r="A6" s="4" t="s">
        <v>40</v>
      </c>
      <c r="B6" s="17" t="n">
        <f aca="false">IF(B5&gt;=2,SLOPE(I12:I111,H12:H111),"Se necesitan 2 fallas")</f>
        <v>1.26708653039335</v>
      </c>
    </row>
    <row r="7" customFormat="false" ht="15" hidden="false" customHeight="false" outlineLevel="0" collapsed="false">
      <c r="A7" s="4" t="s">
        <v>41</v>
      </c>
      <c r="B7" s="16" t="n">
        <f aca="false">IF(B5&gt;=2,EXP(-INTERCEPT(I12:I111,H12:H111)/B6),"")</f>
        <v>11069.3693060431</v>
      </c>
    </row>
    <row r="8" customFormat="false" ht="15" hidden="false" customHeight="false" outlineLevel="0" collapsed="false">
      <c r="A8" s="4" t="s">
        <v>42</v>
      </c>
      <c r="B8" s="16" t="n">
        <f aca="false">IF(B5&gt;=2,B7*(-LN(0.9))^(1/B6),"")</f>
        <v>1874.16773445701</v>
      </c>
    </row>
    <row r="11" customFormat="false" ht="15" hidden="false" customHeight="false" outlineLevel="0" collapsed="false">
      <c r="A11" s="18" t="s">
        <v>43</v>
      </c>
      <c r="B11" s="18" t="s">
        <v>44</v>
      </c>
      <c r="C11" s="18" t="s">
        <v>23</v>
      </c>
      <c r="D11" s="18" t="s">
        <v>21</v>
      </c>
      <c r="E11" s="18" t="s">
        <v>45</v>
      </c>
      <c r="F11" s="18" t="s">
        <v>46</v>
      </c>
      <c r="G11" s="18" t="s">
        <v>47</v>
      </c>
      <c r="H11" s="18" t="s">
        <v>48</v>
      </c>
      <c r="I11" s="18" t="s">
        <v>49</v>
      </c>
    </row>
    <row r="12" customFormat="false" ht="15" hidden="false" customHeight="false" outlineLevel="0" collapsed="false">
      <c r="A12" s="19" t="n">
        <f aca="false">IF(1&lt;=$B$4,1,"")</f>
        <v>1</v>
      </c>
      <c r="B12" s="20" t="n">
        <f aca="false">IF(ISNUMBER(A12),SMALL(Datos!$G$6:$G$105,A12),"")</f>
        <v>1600.000006</v>
      </c>
      <c r="C12" s="19" t="n">
        <f aca="false">IF(ISNUMBER(B12),INDEX(Datos!$F$6:$F$105,MATCH(B12,Datos!$G$6:$G$105,0)),"")</f>
        <v>1600</v>
      </c>
      <c r="D12" s="21" t="str">
        <f aca="false">IF(ISNUMBER(B12),INDEX(Datos!$D$6:$D$105,MATCH(B12,Datos!$G$6:$G$105,0)),"")</f>
        <v>Falla</v>
      </c>
      <c r="E12" s="19" t="n">
        <f aca="false">IF(ISNUMBER(A12),$B$4-A12+1,"")</f>
        <v>8</v>
      </c>
      <c r="F12" s="22" t="n">
        <f aca="false">IF(ISNUMBER(A12),IF(D12="Falla",0+($B$4+1-0)/(1+E12),0),"")</f>
        <v>1</v>
      </c>
      <c r="G12" s="23" t="n">
        <f aca="false">IF(AND(ISNUMBER(A12),D12="Falla"),(F12-0.3)/($B$4+0.4),"")</f>
        <v>0.0833333333333333</v>
      </c>
      <c r="H12" s="23" t="n">
        <f aca="false">IF(ISNUMBER(G12),LN(C12),"")</f>
        <v>7.37775890822787</v>
      </c>
      <c r="I12" s="23" t="n">
        <f aca="false">IF(ISNUMBER(G12),LN(-LN(1-G12)),"")</f>
        <v>-2.44171639888146</v>
      </c>
    </row>
    <row r="13" customFormat="false" ht="15" hidden="false" customHeight="false" outlineLevel="0" collapsed="false">
      <c r="A13" s="19" t="n">
        <f aca="false">IF(2&lt;=$B$4,2,"")</f>
        <v>2</v>
      </c>
      <c r="B13" s="20" t="n">
        <f aca="false">IF(ISNUMBER(A13),SMALL(Datos!$G$6:$G$105,A13),"")</f>
        <v>3400.000007</v>
      </c>
      <c r="C13" s="19" t="n">
        <f aca="false">IF(ISNUMBER(B13),INDEX(Datos!$F$6:$F$105,MATCH(B13,Datos!$G$6:$G$105,0)),"")</f>
        <v>3400</v>
      </c>
      <c r="D13" s="21" t="str">
        <f aca="false">IF(ISNUMBER(B13),INDEX(Datos!$D$6:$D$105,MATCH(B13,Datos!$G$6:$G$105,0)),"")</f>
        <v>Falla</v>
      </c>
      <c r="E13" s="19" t="n">
        <f aca="false">IF(ISNUMBER(A13),$B$4-A13+1,"")</f>
        <v>7</v>
      </c>
      <c r="F13" s="22" t="n">
        <f aca="false">IF(ISNUMBER(A13),IF(D13="Falla",N(F12)+($B$4+1-N(F12))/(1+E13),N(F12)),"")</f>
        <v>2</v>
      </c>
      <c r="G13" s="23" t="n">
        <f aca="false">IF(AND(ISNUMBER(A13),D13="Falla"),(F13-0.3)/($B$4+0.4),"")</f>
        <v>0.202380952380952</v>
      </c>
      <c r="H13" s="23" t="n">
        <f aca="false">IF(ISNUMBER(G13),LN(C13),"")</f>
        <v>8.13153071060425</v>
      </c>
      <c r="I13" s="23" t="n">
        <f aca="false">IF(ISNUMBER(G13),LN(-LN(1-G13)),"")</f>
        <v>-1.48667096400804</v>
      </c>
    </row>
    <row r="14" customFormat="false" ht="15" hidden="false" customHeight="false" outlineLevel="0" collapsed="false">
      <c r="A14" s="19" t="n">
        <f aca="false">IF(3&lt;=$B$4,3,"")</f>
        <v>3</v>
      </c>
      <c r="B14" s="20" t="n">
        <f aca="false">IF(ISNUMBER(A14),SMALL(Datos!$G$6:$G$105,A14),"")</f>
        <v>5300.000008</v>
      </c>
      <c r="C14" s="19" t="n">
        <f aca="false">IF(ISNUMBER(B14),INDEX(Datos!$F$6:$F$105,MATCH(B14,Datos!$G$6:$G$105,0)),"")</f>
        <v>5300</v>
      </c>
      <c r="D14" s="21" t="str">
        <f aca="false">IF(ISNUMBER(B14),INDEX(Datos!$D$6:$D$105,MATCH(B14,Datos!$G$6:$G$105,0)),"")</f>
        <v>Falla</v>
      </c>
      <c r="E14" s="19" t="n">
        <f aca="false">IF(ISNUMBER(A14),$B$4-A14+1,"")</f>
        <v>6</v>
      </c>
      <c r="F14" s="22" t="n">
        <f aca="false">IF(ISNUMBER(A14),IF(D14="Falla",N(F13)+($B$4+1-N(F13))/(1+E14),N(F13)),"")</f>
        <v>3</v>
      </c>
      <c r="G14" s="23" t="n">
        <f aca="false">IF(AND(ISNUMBER(A14),D14="Falla"),(F14-0.3)/($B$4+0.4),"")</f>
        <v>0.321428571428571</v>
      </c>
      <c r="H14" s="23" t="n">
        <f aca="false">IF(ISNUMBER(G14),LN(C14),"")</f>
        <v>8.57546209954021</v>
      </c>
      <c r="I14" s="23" t="n">
        <f aca="false">IF(ISNUMBER(G14),LN(-LN(1-G14)),"")</f>
        <v>-0.947354423546428</v>
      </c>
    </row>
    <row r="15" customFormat="false" ht="15" hidden="false" customHeight="false" outlineLevel="0" collapsed="false">
      <c r="A15" s="19" t="n">
        <f aca="false">IF(4&lt;=$B$4,4,"")</f>
        <v>4</v>
      </c>
      <c r="B15" s="20" t="n">
        <f aca="false">IF(ISNUMBER(A15),SMALL(Datos!$G$6:$G$105,A15),"")</f>
        <v>7500.000009</v>
      </c>
      <c r="C15" s="19" t="n">
        <f aca="false">IF(ISNUMBER(B15),INDEX(Datos!$F$6:$F$105,MATCH(B15,Datos!$G$6:$G$105,0)),"")</f>
        <v>7500</v>
      </c>
      <c r="D15" s="21" t="str">
        <f aca="false">IF(ISNUMBER(B15),INDEX(Datos!$D$6:$D$105,MATCH(B15,Datos!$G$6:$G$105,0)),"")</f>
        <v>Falla</v>
      </c>
      <c r="E15" s="19" t="n">
        <f aca="false">IF(ISNUMBER(A15),$B$4-A15+1,"")</f>
        <v>5</v>
      </c>
      <c r="F15" s="22" t="n">
        <f aca="false">IF(ISNUMBER(A15),IF(D15="Falla",N(F14)+($B$4+1-N(F14))/(1+E15),N(F14)),"")</f>
        <v>4</v>
      </c>
      <c r="G15" s="23" t="n">
        <f aca="false">IF(AND(ISNUMBER(A15),D15="Falla"),(F15-0.3)/($B$4+0.4),"")</f>
        <v>0.44047619047619</v>
      </c>
      <c r="H15" s="23" t="n">
        <f aca="false">IF(ISNUMBER(G15),LN(C15),"")</f>
        <v>8.9226582995244</v>
      </c>
      <c r="I15" s="23" t="n">
        <f aca="false">IF(ISNUMBER(G15),LN(-LN(1-G15)),"")</f>
        <v>-0.543574052382905</v>
      </c>
    </row>
    <row r="16" customFormat="false" ht="15" hidden="false" customHeight="false" outlineLevel="0" collapsed="false">
      <c r="A16" s="19" t="n">
        <f aca="false">IF(5&lt;=$B$4,5,"")</f>
        <v>5</v>
      </c>
      <c r="B16" s="20" t="n">
        <f aca="false">IF(ISNUMBER(A16),SMALL(Datos!$G$6:$G$105,A16),"")</f>
        <v>9300.00001</v>
      </c>
      <c r="C16" s="19" t="n">
        <f aca="false">IF(ISNUMBER(B16),INDEX(Datos!$F$6:$F$105,MATCH(B16,Datos!$G$6:$G$105,0)),"")</f>
        <v>9300</v>
      </c>
      <c r="D16" s="21" t="str">
        <f aca="false">IF(ISNUMBER(B16),INDEX(Datos!$D$6:$D$105,MATCH(B16,Datos!$G$6:$G$105,0)),"")</f>
        <v>Falla</v>
      </c>
      <c r="E16" s="19" t="n">
        <f aca="false">IF(ISNUMBER(A16),$B$4-A16+1,"")</f>
        <v>4</v>
      </c>
      <c r="F16" s="22" t="n">
        <f aca="false">IF(ISNUMBER(A16),IF(D16="Falla",N(F15)+($B$4+1-N(F15))/(1+E16),N(F15)),"")</f>
        <v>5</v>
      </c>
      <c r="G16" s="23" t="n">
        <f aca="false">IF(AND(ISNUMBER(A16),D16="Falla"),(F16-0.3)/($B$4+0.4),"")</f>
        <v>0.55952380952381</v>
      </c>
      <c r="H16" s="23" t="n">
        <f aca="false">IF(ISNUMBER(G16),LN(C16),"")</f>
        <v>9.13776967914135</v>
      </c>
      <c r="I16" s="23" t="n">
        <f aca="false">IF(ISNUMBER(G16),LN(-LN(1-G16)),"")</f>
        <v>-0.198574255840387</v>
      </c>
    </row>
    <row r="17" customFormat="false" ht="15" hidden="false" customHeight="false" outlineLevel="0" collapsed="false">
      <c r="A17" s="19" t="n">
        <f aca="false">IF(6&lt;=$B$4,6,"")</f>
        <v>6</v>
      </c>
      <c r="B17" s="20" t="n">
        <f aca="false">IF(ISNUMBER(A17),SMALL(Datos!$G$6:$G$105,A17),"")</f>
        <v>12000.000011</v>
      </c>
      <c r="C17" s="19" t="n">
        <f aca="false">IF(ISNUMBER(B17),INDEX(Datos!$F$6:$F$105,MATCH(B17,Datos!$G$6:$G$105,0)),"")</f>
        <v>12000</v>
      </c>
      <c r="D17" s="21" t="str">
        <f aca="false">IF(ISNUMBER(B17),INDEX(Datos!$D$6:$D$105,MATCH(B17,Datos!$G$6:$G$105,0)),"")</f>
        <v>Falla</v>
      </c>
      <c r="E17" s="19" t="n">
        <f aca="false">IF(ISNUMBER(A17),$B$4-A17+1,"")</f>
        <v>3</v>
      </c>
      <c r="F17" s="22" t="n">
        <f aca="false">IF(ISNUMBER(A17),IF(D17="Falla",N(F16)+($B$4+1-N(F16))/(1+E17),N(F16)),"")</f>
        <v>6</v>
      </c>
      <c r="G17" s="23" t="n">
        <f aca="false">IF(AND(ISNUMBER(A17),D17="Falla"),(F17-0.3)/($B$4+0.4),"")</f>
        <v>0.678571428571429</v>
      </c>
      <c r="H17" s="23" t="n">
        <f aca="false">IF(ISNUMBER(G17),LN(C17),"")</f>
        <v>9.39266192877014</v>
      </c>
      <c r="I17" s="23" t="n">
        <f aca="false">IF(ISNUMBER(G17),LN(-LN(1-G17)),"")</f>
        <v>0.126614970458992</v>
      </c>
    </row>
    <row r="18" customFormat="false" ht="15" hidden="false" customHeight="false" outlineLevel="0" collapsed="false">
      <c r="A18" s="19" t="n">
        <f aca="false">IF(7&lt;=$B$4,7,"")</f>
        <v>7</v>
      </c>
      <c r="B18" s="20" t="n">
        <f aca="false">IF(ISNUMBER(A18),SMALL(Datos!$G$6:$G$105,A18),"")</f>
        <v>13000.000012</v>
      </c>
      <c r="C18" s="19" t="n">
        <f aca="false">IF(ISNUMBER(B18),INDEX(Datos!$F$6:$F$105,MATCH(B18,Datos!$G$6:$G$105,0)),"")</f>
        <v>13000</v>
      </c>
      <c r="D18" s="21" t="str">
        <f aca="false">IF(ISNUMBER(B18),INDEX(Datos!$D$6:$D$105,MATCH(B18,Datos!$G$6:$G$105,0)),"")</f>
        <v>Suspensión</v>
      </c>
      <c r="E18" s="19" t="n">
        <f aca="false">IF(ISNUMBER(A18),$B$4-A18+1,"")</f>
        <v>2</v>
      </c>
      <c r="F18" s="22" t="n">
        <f aca="false">IF(ISNUMBER(A18),IF(D18="Falla",N(F17)+($B$4+1-N(F17))/(1+E18),N(F17)),"")</f>
        <v>6</v>
      </c>
      <c r="G18" s="23" t="str">
        <f aca="false">IF(AND(ISNUMBER(A18),D18="Falla"),(F18-0.3)/($B$4+0.4),"")</f>
        <v/>
      </c>
      <c r="H18" s="23" t="str">
        <f aca="false">IF(ISNUMBER(G18),LN(C18),"")</f>
        <v/>
      </c>
      <c r="I18" s="23" t="str">
        <f aca="false">IF(ISNUMBER(G18),LN(-LN(1-G18)),"")</f>
        <v/>
      </c>
    </row>
    <row r="19" customFormat="false" ht="15" hidden="false" customHeight="false" outlineLevel="0" collapsed="false">
      <c r="A19" s="19" t="n">
        <f aca="false">IF(8&lt;=$B$4,8,"")</f>
        <v>8</v>
      </c>
      <c r="B19" s="20" t="n">
        <f aca="false">IF(ISNUMBER(A19),SMALL(Datos!$G$6:$G$105,A19),"")</f>
        <v>13000.000013</v>
      </c>
      <c r="C19" s="19" t="n">
        <f aca="false">IF(ISNUMBER(B19),INDEX(Datos!$F$6:$F$105,MATCH(B19,Datos!$G$6:$G$105,0)),"")</f>
        <v>13000</v>
      </c>
      <c r="D19" s="21" t="str">
        <f aca="false">IF(ISNUMBER(B19),INDEX(Datos!$D$6:$D$105,MATCH(B19,Datos!$G$6:$G$105,0)),"")</f>
        <v>Suspensión</v>
      </c>
      <c r="E19" s="19" t="n">
        <f aca="false">IF(ISNUMBER(A19),$B$4-A19+1,"")</f>
        <v>1</v>
      </c>
      <c r="F19" s="22" t="n">
        <f aca="false">IF(ISNUMBER(A19),IF(D19="Falla",N(F18)+($B$4+1-N(F18))/(1+E19),N(F18)),"")</f>
        <v>6</v>
      </c>
      <c r="G19" s="23" t="str">
        <f aca="false">IF(AND(ISNUMBER(A19),D19="Falla"),(F19-0.3)/($B$4+0.4),"")</f>
        <v/>
      </c>
      <c r="H19" s="23" t="str">
        <f aca="false">IF(ISNUMBER(G19),LN(C19),"")</f>
        <v/>
      </c>
      <c r="I19" s="23" t="str">
        <f aca="false">IF(ISNUMBER(G19),LN(-LN(1-G19)),"")</f>
        <v/>
      </c>
    </row>
    <row r="20" customFormat="false" ht="15" hidden="false" customHeight="false" outlineLevel="0" collapsed="false">
      <c r="A20" s="19" t="str">
        <f aca="false">IF(9&lt;=$B$4,9,"")</f>
        <v/>
      </c>
      <c r="B20" s="20" t="str">
        <f aca="false">IF(ISNUMBER(A20),SMALL(Datos!$G$6:$G$105,A20),"")</f>
        <v/>
      </c>
      <c r="C20" s="19" t="str">
        <f aca="false">IF(ISNUMBER(B20),INDEX(Datos!$F$6:$F$105,MATCH(B20,Datos!$G$6:$G$105,0)),"")</f>
        <v/>
      </c>
      <c r="D20" s="21" t="str">
        <f aca="false">IF(ISNUMBER(B20),INDEX(Datos!$D$6:$D$105,MATCH(B20,Datos!$G$6:$G$105,0)),"")</f>
        <v/>
      </c>
      <c r="E20" s="19" t="str">
        <f aca="false">IF(ISNUMBER(A20),$B$4-A20+1,"")</f>
        <v/>
      </c>
      <c r="F20" s="22" t="str">
        <f aca="false">IF(ISNUMBER(A20),IF(D20="Falla",N(F19)+($B$4+1-N(F19))/(1+E20),N(F19)),"")</f>
        <v/>
      </c>
      <c r="G20" s="23" t="str">
        <f aca="false">IF(AND(ISNUMBER(A20),D20="Falla"),(F20-0.3)/($B$4+0.4),"")</f>
        <v/>
      </c>
      <c r="H20" s="23" t="str">
        <f aca="false">IF(ISNUMBER(G20),LN(C20),"")</f>
        <v/>
      </c>
      <c r="I20" s="23" t="str">
        <f aca="false">IF(ISNUMBER(G20),LN(-LN(1-G20)),"")</f>
        <v/>
      </c>
    </row>
    <row r="21" customFormat="false" ht="15" hidden="false" customHeight="false" outlineLevel="0" collapsed="false">
      <c r="A21" s="19" t="str">
        <f aca="false">IF(10&lt;=$B$4,10,"")</f>
        <v/>
      </c>
      <c r="B21" s="20" t="str">
        <f aca="false">IF(ISNUMBER(A21),SMALL(Datos!$G$6:$G$105,A21),"")</f>
        <v/>
      </c>
      <c r="C21" s="19" t="str">
        <f aca="false">IF(ISNUMBER(B21),INDEX(Datos!$F$6:$F$105,MATCH(B21,Datos!$G$6:$G$105,0)),"")</f>
        <v/>
      </c>
      <c r="D21" s="21" t="str">
        <f aca="false">IF(ISNUMBER(B21),INDEX(Datos!$D$6:$D$105,MATCH(B21,Datos!$G$6:$G$105,0)),"")</f>
        <v/>
      </c>
      <c r="E21" s="19" t="str">
        <f aca="false">IF(ISNUMBER(A21),$B$4-A21+1,"")</f>
        <v/>
      </c>
      <c r="F21" s="22" t="str">
        <f aca="false">IF(ISNUMBER(A21),IF(D21="Falla",N(F20)+($B$4+1-N(F20))/(1+E21),N(F20)),"")</f>
        <v/>
      </c>
      <c r="G21" s="23" t="str">
        <f aca="false">IF(AND(ISNUMBER(A21),D21="Falla"),(F21-0.3)/($B$4+0.4),"")</f>
        <v/>
      </c>
      <c r="H21" s="23" t="str">
        <f aca="false">IF(ISNUMBER(G21),LN(C21),"")</f>
        <v/>
      </c>
      <c r="I21" s="23" t="str">
        <f aca="false">IF(ISNUMBER(G21),LN(-LN(1-G21)),"")</f>
        <v/>
      </c>
    </row>
    <row r="22" customFormat="false" ht="15" hidden="false" customHeight="false" outlineLevel="0" collapsed="false">
      <c r="A22" s="19" t="str">
        <f aca="false">IF(11&lt;=$B$4,11,"")</f>
        <v/>
      </c>
      <c r="B22" s="20" t="str">
        <f aca="false">IF(ISNUMBER(A22),SMALL(Datos!$G$6:$G$105,A22),"")</f>
        <v/>
      </c>
      <c r="C22" s="19" t="str">
        <f aca="false">IF(ISNUMBER(B22),INDEX(Datos!$F$6:$F$105,MATCH(B22,Datos!$G$6:$G$105,0)),"")</f>
        <v/>
      </c>
      <c r="D22" s="21" t="str">
        <f aca="false">IF(ISNUMBER(B22),INDEX(Datos!$D$6:$D$105,MATCH(B22,Datos!$G$6:$G$105,0)),"")</f>
        <v/>
      </c>
      <c r="E22" s="19" t="str">
        <f aca="false">IF(ISNUMBER(A22),$B$4-A22+1,"")</f>
        <v/>
      </c>
      <c r="F22" s="22" t="str">
        <f aca="false">IF(ISNUMBER(A22),IF(D22="Falla",N(F21)+($B$4+1-N(F21))/(1+E22),N(F21)),"")</f>
        <v/>
      </c>
      <c r="G22" s="23" t="str">
        <f aca="false">IF(AND(ISNUMBER(A22),D22="Falla"),(F22-0.3)/($B$4+0.4),"")</f>
        <v/>
      </c>
      <c r="H22" s="23" t="str">
        <f aca="false">IF(ISNUMBER(G22),LN(C22),"")</f>
        <v/>
      </c>
      <c r="I22" s="23" t="str">
        <f aca="false">IF(ISNUMBER(G22),LN(-LN(1-G22)),"")</f>
        <v/>
      </c>
    </row>
    <row r="23" customFormat="false" ht="15" hidden="false" customHeight="false" outlineLevel="0" collapsed="false">
      <c r="A23" s="19" t="str">
        <f aca="false">IF(12&lt;=$B$4,12,"")</f>
        <v/>
      </c>
      <c r="B23" s="20" t="str">
        <f aca="false">IF(ISNUMBER(A23),SMALL(Datos!$G$6:$G$105,A23),"")</f>
        <v/>
      </c>
      <c r="C23" s="19" t="str">
        <f aca="false">IF(ISNUMBER(B23),INDEX(Datos!$F$6:$F$105,MATCH(B23,Datos!$G$6:$G$105,0)),"")</f>
        <v/>
      </c>
      <c r="D23" s="21" t="str">
        <f aca="false">IF(ISNUMBER(B23),INDEX(Datos!$D$6:$D$105,MATCH(B23,Datos!$G$6:$G$105,0)),"")</f>
        <v/>
      </c>
      <c r="E23" s="19" t="str">
        <f aca="false">IF(ISNUMBER(A23),$B$4-A23+1,"")</f>
        <v/>
      </c>
      <c r="F23" s="22" t="str">
        <f aca="false">IF(ISNUMBER(A23),IF(D23="Falla",N(F22)+($B$4+1-N(F22))/(1+E23),N(F22)),"")</f>
        <v/>
      </c>
      <c r="G23" s="23" t="str">
        <f aca="false">IF(AND(ISNUMBER(A23),D23="Falla"),(F23-0.3)/($B$4+0.4),"")</f>
        <v/>
      </c>
      <c r="H23" s="23" t="str">
        <f aca="false">IF(ISNUMBER(G23),LN(C23),"")</f>
        <v/>
      </c>
      <c r="I23" s="23" t="str">
        <f aca="false">IF(ISNUMBER(G23),LN(-LN(1-G23)),"")</f>
        <v/>
      </c>
    </row>
    <row r="24" customFormat="false" ht="15" hidden="false" customHeight="false" outlineLevel="0" collapsed="false">
      <c r="A24" s="19" t="str">
        <f aca="false">IF(13&lt;=$B$4,13,"")</f>
        <v/>
      </c>
      <c r="B24" s="20" t="str">
        <f aca="false">IF(ISNUMBER(A24),SMALL(Datos!$G$6:$G$105,A24),"")</f>
        <v/>
      </c>
      <c r="C24" s="19" t="str">
        <f aca="false">IF(ISNUMBER(B24),INDEX(Datos!$F$6:$F$105,MATCH(B24,Datos!$G$6:$G$105,0)),"")</f>
        <v/>
      </c>
      <c r="D24" s="21" t="str">
        <f aca="false">IF(ISNUMBER(B24),INDEX(Datos!$D$6:$D$105,MATCH(B24,Datos!$G$6:$G$105,0)),"")</f>
        <v/>
      </c>
      <c r="E24" s="19" t="str">
        <f aca="false">IF(ISNUMBER(A24),$B$4-A24+1,"")</f>
        <v/>
      </c>
      <c r="F24" s="22" t="str">
        <f aca="false">IF(ISNUMBER(A24),IF(D24="Falla",N(F23)+($B$4+1-N(F23))/(1+E24),N(F23)),"")</f>
        <v/>
      </c>
      <c r="G24" s="23" t="str">
        <f aca="false">IF(AND(ISNUMBER(A24),D24="Falla"),(F24-0.3)/($B$4+0.4),"")</f>
        <v/>
      </c>
      <c r="H24" s="23" t="str">
        <f aca="false">IF(ISNUMBER(G24),LN(C24),"")</f>
        <v/>
      </c>
      <c r="I24" s="23" t="str">
        <f aca="false">IF(ISNUMBER(G24),LN(-LN(1-G24)),"")</f>
        <v/>
      </c>
    </row>
    <row r="25" customFormat="false" ht="15" hidden="false" customHeight="false" outlineLevel="0" collapsed="false">
      <c r="A25" s="19" t="str">
        <f aca="false">IF(14&lt;=$B$4,14,"")</f>
        <v/>
      </c>
      <c r="B25" s="20" t="str">
        <f aca="false">IF(ISNUMBER(A25),SMALL(Datos!$G$6:$G$105,A25),"")</f>
        <v/>
      </c>
      <c r="C25" s="19" t="str">
        <f aca="false">IF(ISNUMBER(B25),INDEX(Datos!$F$6:$F$105,MATCH(B25,Datos!$G$6:$G$105,0)),"")</f>
        <v/>
      </c>
      <c r="D25" s="21" t="str">
        <f aca="false">IF(ISNUMBER(B25),INDEX(Datos!$D$6:$D$105,MATCH(B25,Datos!$G$6:$G$105,0)),"")</f>
        <v/>
      </c>
      <c r="E25" s="19" t="str">
        <f aca="false">IF(ISNUMBER(A25),$B$4-A25+1,"")</f>
        <v/>
      </c>
      <c r="F25" s="22" t="str">
        <f aca="false">IF(ISNUMBER(A25),IF(D25="Falla",N(F24)+($B$4+1-N(F24))/(1+E25),N(F24)),"")</f>
        <v/>
      </c>
      <c r="G25" s="23" t="str">
        <f aca="false">IF(AND(ISNUMBER(A25),D25="Falla"),(F25-0.3)/($B$4+0.4),"")</f>
        <v/>
      </c>
      <c r="H25" s="23" t="str">
        <f aca="false">IF(ISNUMBER(G25),LN(C25),"")</f>
        <v/>
      </c>
      <c r="I25" s="23" t="str">
        <f aca="false">IF(ISNUMBER(G25),LN(-LN(1-G25)),"")</f>
        <v/>
      </c>
    </row>
    <row r="26" customFormat="false" ht="15" hidden="false" customHeight="false" outlineLevel="0" collapsed="false">
      <c r="A26" s="19" t="str">
        <f aca="false">IF(15&lt;=$B$4,15,"")</f>
        <v/>
      </c>
      <c r="B26" s="20" t="str">
        <f aca="false">IF(ISNUMBER(A26),SMALL(Datos!$G$6:$G$105,A26),"")</f>
        <v/>
      </c>
      <c r="C26" s="19" t="str">
        <f aca="false">IF(ISNUMBER(B26),INDEX(Datos!$F$6:$F$105,MATCH(B26,Datos!$G$6:$G$105,0)),"")</f>
        <v/>
      </c>
      <c r="D26" s="21" t="str">
        <f aca="false">IF(ISNUMBER(B26),INDEX(Datos!$D$6:$D$105,MATCH(B26,Datos!$G$6:$G$105,0)),"")</f>
        <v/>
      </c>
      <c r="E26" s="19" t="str">
        <f aca="false">IF(ISNUMBER(A26),$B$4-A26+1,"")</f>
        <v/>
      </c>
      <c r="F26" s="22" t="str">
        <f aca="false">IF(ISNUMBER(A26),IF(D26="Falla",N(F25)+($B$4+1-N(F25))/(1+E26),N(F25)),"")</f>
        <v/>
      </c>
      <c r="G26" s="23" t="str">
        <f aca="false">IF(AND(ISNUMBER(A26),D26="Falla"),(F26-0.3)/($B$4+0.4),"")</f>
        <v/>
      </c>
      <c r="H26" s="23" t="str">
        <f aca="false">IF(ISNUMBER(G26),LN(C26),"")</f>
        <v/>
      </c>
      <c r="I26" s="23" t="str">
        <f aca="false">IF(ISNUMBER(G26),LN(-LN(1-G26)),"")</f>
        <v/>
      </c>
    </row>
    <row r="27" customFormat="false" ht="15" hidden="false" customHeight="false" outlineLevel="0" collapsed="false">
      <c r="A27" s="19" t="str">
        <f aca="false">IF(16&lt;=$B$4,16,"")</f>
        <v/>
      </c>
      <c r="B27" s="20" t="str">
        <f aca="false">IF(ISNUMBER(A27),SMALL(Datos!$G$6:$G$105,A27),"")</f>
        <v/>
      </c>
      <c r="C27" s="19" t="str">
        <f aca="false">IF(ISNUMBER(B27),INDEX(Datos!$F$6:$F$105,MATCH(B27,Datos!$G$6:$G$105,0)),"")</f>
        <v/>
      </c>
      <c r="D27" s="21" t="str">
        <f aca="false">IF(ISNUMBER(B27),INDEX(Datos!$D$6:$D$105,MATCH(B27,Datos!$G$6:$G$105,0)),"")</f>
        <v/>
      </c>
      <c r="E27" s="19" t="str">
        <f aca="false">IF(ISNUMBER(A27),$B$4-A27+1,"")</f>
        <v/>
      </c>
      <c r="F27" s="22" t="str">
        <f aca="false">IF(ISNUMBER(A27),IF(D27="Falla",N(F26)+($B$4+1-N(F26))/(1+E27),N(F26)),"")</f>
        <v/>
      </c>
      <c r="G27" s="23" t="str">
        <f aca="false">IF(AND(ISNUMBER(A27),D27="Falla"),(F27-0.3)/($B$4+0.4),"")</f>
        <v/>
      </c>
      <c r="H27" s="23" t="str">
        <f aca="false">IF(ISNUMBER(G27),LN(C27),"")</f>
        <v/>
      </c>
      <c r="I27" s="23" t="str">
        <f aca="false">IF(ISNUMBER(G27),LN(-LN(1-G27)),"")</f>
        <v/>
      </c>
    </row>
    <row r="28" customFormat="false" ht="15" hidden="false" customHeight="false" outlineLevel="0" collapsed="false">
      <c r="A28" s="19" t="str">
        <f aca="false">IF(17&lt;=$B$4,17,"")</f>
        <v/>
      </c>
      <c r="B28" s="20" t="str">
        <f aca="false">IF(ISNUMBER(A28),SMALL(Datos!$G$6:$G$105,A28),"")</f>
        <v/>
      </c>
      <c r="C28" s="19" t="str">
        <f aca="false">IF(ISNUMBER(B28),INDEX(Datos!$F$6:$F$105,MATCH(B28,Datos!$G$6:$G$105,0)),"")</f>
        <v/>
      </c>
      <c r="D28" s="21" t="str">
        <f aca="false">IF(ISNUMBER(B28),INDEX(Datos!$D$6:$D$105,MATCH(B28,Datos!$G$6:$G$105,0)),"")</f>
        <v/>
      </c>
      <c r="E28" s="19" t="str">
        <f aca="false">IF(ISNUMBER(A28),$B$4-A28+1,"")</f>
        <v/>
      </c>
      <c r="F28" s="22" t="str">
        <f aca="false">IF(ISNUMBER(A28),IF(D28="Falla",N(F27)+($B$4+1-N(F27))/(1+E28),N(F27)),"")</f>
        <v/>
      </c>
      <c r="G28" s="23" t="str">
        <f aca="false">IF(AND(ISNUMBER(A28),D28="Falla"),(F28-0.3)/($B$4+0.4),"")</f>
        <v/>
      </c>
      <c r="H28" s="23" t="str">
        <f aca="false">IF(ISNUMBER(G28),LN(C28),"")</f>
        <v/>
      </c>
      <c r="I28" s="23" t="str">
        <f aca="false">IF(ISNUMBER(G28),LN(-LN(1-G28)),"")</f>
        <v/>
      </c>
    </row>
    <row r="29" customFormat="false" ht="15" hidden="false" customHeight="false" outlineLevel="0" collapsed="false">
      <c r="A29" s="19" t="str">
        <f aca="false">IF(18&lt;=$B$4,18,"")</f>
        <v/>
      </c>
      <c r="B29" s="20" t="str">
        <f aca="false">IF(ISNUMBER(A29),SMALL(Datos!$G$6:$G$105,A29),"")</f>
        <v/>
      </c>
      <c r="C29" s="19" t="str">
        <f aca="false">IF(ISNUMBER(B29),INDEX(Datos!$F$6:$F$105,MATCH(B29,Datos!$G$6:$G$105,0)),"")</f>
        <v/>
      </c>
      <c r="D29" s="21" t="str">
        <f aca="false">IF(ISNUMBER(B29),INDEX(Datos!$D$6:$D$105,MATCH(B29,Datos!$G$6:$G$105,0)),"")</f>
        <v/>
      </c>
      <c r="E29" s="19" t="str">
        <f aca="false">IF(ISNUMBER(A29),$B$4-A29+1,"")</f>
        <v/>
      </c>
      <c r="F29" s="22" t="str">
        <f aca="false">IF(ISNUMBER(A29),IF(D29="Falla",N(F28)+($B$4+1-N(F28))/(1+E29),N(F28)),"")</f>
        <v/>
      </c>
      <c r="G29" s="23" t="str">
        <f aca="false">IF(AND(ISNUMBER(A29),D29="Falla"),(F29-0.3)/($B$4+0.4),"")</f>
        <v/>
      </c>
      <c r="H29" s="23" t="str">
        <f aca="false">IF(ISNUMBER(G29),LN(C29),"")</f>
        <v/>
      </c>
      <c r="I29" s="23" t="str">
        <f aca="false">IF(ISNUMBER(G29),LN(-LN(1-G29)),"")</f>
        <v/>
      </c>
    </row>
    <row r="30" customFormat="false" ht="15" hidden="false" customHeight="false" outlineLevel="0" collapsed="false">
      <c r="A30" s="19" t="str">
        <f aca="false">IF(19&lt;=$B$4,19,"")</f>
        <v/>
      </c>
      <c r="B30" s="20" t="str">
        <f aca="false">IF(ISNUMBER(A30),SMALL(Datos!$G$6:$G$105,A30),"")</f>
        <v/>
      </c>
      <c r="C30" s="19" t="str">
        <f aca="false">IF(ISNUMBER(B30),INDEX(Datos!$F$6:$F$105,MATCH(B30,Datos!$G$6:$G$105,0)),"")</f>
        <v/>
      </c>
      <c r="D30" s="21" t="str">
        <f aca="false">IF(ISNUMBER(B30),INDEX(Datos!$D$6:$D$105,MATCH(B30,Datos!$G$6:$G$105,0)),"")</f>
        <v/>
      </c>
      <c r="E30" s="19" t="str">
        <f aca="false">IF(ISNUMBER(A30),$B$4-A30+1,"")</f>
        <v/>
      </c>
      <c r="F30" s="22" t="str">
        <f aca="false">IF(ISNUMBER(A30),IF(D30="Falla",N(F29)+($B$4+1-N(F29))/(1+E30),N(F29)),"")</f>
        <v/>
      </c>
      <c r="G30" s="23" t="str">
        <f aca="false">IF(AND(ISNUMBER(A30),D30="Falla"),(F30-0.3)/($B$4+0.4),"")</f>
        <v/>
      </c>
      <c r="H30" s="23" t="str">
        <f aca="false">IF(ISNUMBER(G30),LN(C30),"")</f>
        <v/>
      </c>
      <c r="I30" s="23" t="str">
        <f aca="false">IF(ISNUMBER(G30),LN(-LN(1-G30)),"")</f>
        <v/>
      </c>
    </row>
    <row r="31" customFormat="false" ht="15" hidden="false" customHeight="false" outlineLevel="0" collapsed="false">
      <c r="A31" s="19" t="str">
        <f aca="false">IF(20&lt;=$B$4,20,"")</f>
        <v/>
      </c>
      <c r="B31" s="20" t="str">
        <f aca="false">IF(ISNUMBER(A31),SMALL(Datos!$G$6:$G$105,A31),"")</f>
        <v/>
      </c>
      <c r="C31" s="19" t="str">
        <f aca="false">IF(ISNUMBER(B31),INDEX(Datos!$F$6:$F$105,MATCH(B31,Datos!$G$6:$G$105,0)),"")</f>
        <v/>
      </c>
      <c r="D31" s="21" t="str">
        <f aca="false">IF(ISNUMBER(B31),INDEX(Datos!$D$6:$D$105,MATCH(B31,Datos!$G$6:$G$105,0)),"")</f>
        <v/>
      </c>
      <c r="E31" s="19" t="str">
        <f aca="false">IF(ISNUMBER(A31),$B$4-A31+1,"")</f>
        <v/>
      </c>
      <c r="F31" s="22" t="str">
        <f aca="false">IF(ISNUMBER(A31),IF(D31="Falla",N(F30)+($B$4+1-N(F30))/(1+E31),N(F30)),"")</f>
        <v/>
      </c>
      <c r="G31" s="23" t="str">
        <f aca="false">IF(AND(ISNUMBER(A31),D31="Falla"),(F31-0.3)/($B$4+0.4),"")</f>
        <v/>
      </c>
      <c r="H31" s="23" t="str">
        <f aca="false">IF(ISNUMBER(G31),LN(C31),"")</f>
        <v/>
      </c>
      <c r="I31" s="23" t="str">
        <f aca="false">IF(ISNUMBER(G31),LN(-LN(1-G31)),"")</f>
        <v/>
      </c>
    </row>
    <row r="32" customFormat="false" ht="15" hidden="false" customHeight="false" outlineLevel="0" collapsed="false">
      <c r="A32" s="19" t="str">
        <f aca="false">IF(21&lt;=$B$4,21,"")</f>
        <v/>
      </c>
      <c r="B32" s="20" t="str">
        <f aca="false">IF(ISNUMBER(A32),SMALL(Datos!$G$6:$G$105,A32),"")</f>
        <v/>
      </c>
      <c r="C32" s="19" t="str">
        <f aca="false">IF(ISNUMBER(B32),INDEX(Datos!$F$6:$F$105,MATCH(B32,Datos!$G$6:$G$105,0)),"")</f>
        <v/>
      </c>
      <c r="D32" s="21" t="str">
        <f aca="false">IF(ISNUMBER(B32),INDEX(Datos!$D$6:$D$105,MATCH(B32,Datos!$G$6:$G$105,0)),"")</f>
        <v/>
      </c>
      <c r="E32" s="19" t="str">
        <f aca="false">IF(ISNUMBER(A32),$B$4-A32+1,"")</f>
        <v/>
      </c>
      <c r="F32" s="22" t="str">
        <f aca="false">IF(ISNUMBER(A32),IF(D32="Falla",N(F31)+($B$4+1-N(F31))/(1+E32),N(F31)),"")</f>
        <v/>
      </c>
      <c r="G32" s="23" t="str">
        <f aca="false">IF(AND(ISNUMBER(A32),D32="Falla"),(F32-0.3)/($B$4+0.4),"")</f>
        <v/>
      </c>
      <c r="H32" s="23" t="str">
        <f aca="false">IF(ISNUMBER(G32),LN(C32),"")</f>
        <v/>
      </c>
      <c r="I32" s="23" t="str">
        <f aca="false">IF(ISNUMBER(G32),LN(-LN(1-G32)),"")</f>
        <v/>
      </c>
    </row>
    <row r="33" customFormat="false" ht="15" hidden="false" customHeight="false" outlineLevel="0" collapsed="false">
      <c r="A33" s="19" t="str">
        <f aca="false">IF(22&lt;=$B$4,22,"")</f>
        <v/>
      </c>
      <c r="B33" s="20" t="str">
        <f aca="false">IF(ISNUMBER(A33),SMALL(Datos!$G$6:$G$105,A33),"")</f>
        <v/>
      </c>
      <c r="C33" s="19" t="str">
        <f aca="false">IF(ISNUMBER(B33),INDEX(Datos!$F$6:$F$105,MATCH(B33,Datos!$G$6:$G$105,0)),"")</f>
        <v/>
      </c>
      <c r="D33" s="21" t="str">
        <f aca="false">IF(ISNUMBER(B33),INDEX(Datos!$D$6:$D$105,MATCH(B33,Datos!$G$6:$G$105,0)),"")</f>
        <v/>
      </c>
      <c r="E33" s="19" t="str">
        <f aca="false">IF(ISNUMBER(A33),$B$4-A33+1,"")</f>
        <v/>
      </c>
      <c r="F33" s="22" t="str">
        <f aca="false">IF(ISNUMBER(A33),IF(D33="Falla",N(F32)+($B$4+1-N(F32))/(1+E33),N(F32)),"")</f>
        <v/>
      </c>
      <c r="G33" s="23" t="str">
        <f aca="false">IF(AND(ISNUMBER(A33),D33="Falla"),(F33-0.3)/($B$4+0.4),"")</f>
        <v/>
      </c>
      <c r="H33" s="23" t="str">
        <f aca="false">IF(ISNUMBER(G33),LN(C33),"")</f>
        <v/>
      </c>
      <c r="I33" s="23" t="str">
        <f aca="false">IF(ISNUMBER(G33),LN(-LN(1-G33)),"")</f>
        <v/>
      </c>
    </row>
    <row r="34" customFormat="false" ht="15" hidden="false" customHeight="false" outlineLevel="0" collapsed="false">
      <c r="A34" s="19" t="str">
        <f aca="false">IF(23&lt;=$B$4,23,"")</f>
        <v/>
      </c>
      <c r="B34" s="20" t="str">
        <f aca="false">IF(ISNUMBER(A34),SMALL(Datos!$G$6:$G$105,A34),"")</f>
        <v/>
      </c>
      <c r="C34" s="19" t="str">
        <f aca="false">IF(ISNUMBER(B34),INDEX(Datos!$F$6:$F$105,MATCH(B34,Datos!$G$6:$G$105,0)),"")</f>
        <v/>
      </c>
      <c r="D34" s="21" t="str">
        <f aca="false">IF(ISNUMBER(B34),INDEX(Datos!$D$6:$D$105,MATCH(B34,Datos!$G$6:$G$105,0)),"")</f>
        <v/>
      </c>
      <c r="E34" s="19" t="str">
        <f aca="false">IF(ISNUMBER(A34),$B$4-A34+1,"")</f>
        <v/>
      </c>
      <c r="F34" s="22" t="str">
        <f aca="false">IF(ISNUMBER(A34),IF(D34="Falla",N(F33)+($B$4+1-N(F33))/(1+E34),N(F33)),"")</f>
        <v/>
      </c>
      <c r="G34" s="23" t="str">
        <f aca="false">IF(AND(ISNUMBER(A34),D34="Falla"),(F34-0.3)/($B$4+0.4),"")</f>
        <v/>
      </c>
      <c r="H34" s="23" t="str">
        <f aca="false">IF(ISNUMBER(G34),LN(C34),"")</f>
        <v/>
      </c>
      <c r="I34" s="23" t="str">
        <f aca="false">IF(ISNUMBER(G34),LN(-LN(1-G34)),"")</f>
        <v/>
      </c>
    </row>
    <row r="35" customFormat="false" ht="15" hidden="false" customHeight="false" outlineLevel="0" collapsed="false">
      <c r="A35" s="19" t="str">
        <f aca="false">IF(24&lt;=$B$4,24,"")</f>
        <v/>
      </c>
      <c r="B35" s="20" t="str">
        <f aca="false">IF(ISNUMBER(A35),SMALL(Datos!$G$6:$G$105,A35),"")</f>
        <v/>
      </c>
      <c r="C35" s="19" t="str">
        <f aca="false">IF(ISNUMBER(B35),INDEX(Datos!$F$6:$F$105,MATCH(B35,Datos!$G$6:$G$105,0)),"")</f>
        <v/>
      </c>
      <c r="D35" s="21" t="str">
        <f aca="false">IF(ISNUMBER(B35),INDEX(Datos!$D$6:$D$105,MATCH(B35,Datos!$G$6:$G$105,0)),"")</f>
        <v/>
      </c>
      <c r="E35" s="19" t="str">
        <f aca="false">IF(ISNUMBER(A35),$B$4-A35+1,"")</f>
        <v/>
      </c>
      <c r="F35" s="22" t="str">
        <f aca="false">IF(ISNUMBER(A35),IF(D35="Falla",N(F34)+($B$4+1-N(F34))/(1+E35),N(F34)),"")</f>
        <v/>
      </c>
      <c r="G35" s="23" t="str">
        <f aca="false">IF(AND(ISNUMBER(A35),D35="Falla"),(F35-0.3)/($B$4+0.4),"")</f>
        <v/>
      </c>
      <c r="H35" s="23" t="str">
        <f aca="false">IF(ISNUMBER(G35),LN(C35),"")</f>
        <v/>
      </c>
      <c r="I35" s="23" t="str">
        <f aca="false">IF(ISNUMBER(G35),LN(-LN(1-G35)),"")</f>
        <v/>
      </c>
    </row>
    <row r="36" customFormat="false" ht="15" hidden="false" customHeight="false" outlineLevel="0" collapsed="false">
      <c r="A36" s="19" t="str">
        <f aca="false">IF(25&lt;=$B$4,25,"")</f>
        <v/>
      </c>
      <c r="B36" s="20" t="str">
        <f aca="false">IF(ISNUMBER(A36),SMALL(Datos!$G$6:$G$105,A36),"")</f>
        <v/>
      </c>
      <c r="C36" s="19" t="str">
        <f aca="false">IF(ISNUMBER(B36),INDEX(Datos!$F$6:$F$105,MATCH(B36,Datos!$G$6:$G$105,0)),"")</f>
        <v/>
      </c>
      <c r="D36" s="21" t="str">
        <f aca="false">IF(ISNUMBER(B36),INDEX(Datos!$D$6:$D$105,MATCH(B36,Datos!$G$6:$G$105,0)),"")</f>
        <v/>
      </c>
      <c r="E36" s="19" t="str">
        <f aca="false">IF(ISNUMBER(A36),$B$4-A36+1,"")</f>
        <v/>
      </c>
      <c r="F36" s="22" t="str">
        <f aca="false">IF(ISNUMBER(A36),IF(D36="Falla",N(F35)+($B$4+1-N(F35))/(1+E36),N(F35)),"")</f>
        <v/>
      </c>
      <c r="G36" s="23" t="str">
        <f aca="false">IF(AND(ISNUMBER(A36),D36="Falla"),(F36-0.3)/($B$4+0.4),"")</f>
        <v/>
      </c>
      <c r="H36" s="23" t="str">
        <f aca="false">IF(ISNUMBER(G36),LN(C36),"")</f>
        <v/>
      </c>
      <c r="I36" s="23" t="str">
        <f aca="false">IF(ISNUMBER(G36),LN(-LN(1-G36)),"")</f>
        <v/>
      </c>
    </row>
    <row r="37" customFormat="false" ht="15" hidden="false" customHeight="false" outlineLevel="0" collapsed="false">
      <c r="A37" s="19" t="str">
        <f aca="false">IF(26&lt;=$B$4,26,"")</f>
        <v/>
      </c>
      <c r="B37" s="20" t="str">
        <f aca="false">IF(ISNUMBER(A37),SMALL(Datos!$G$6:$G$105,A37),"")</f>
        <v/>
      </c>
      <c r="C37" s="19" t="str">
        <f aca="false">IF(ISNUMBER(B37),INDEX(Datos!$F$6:$F$105,MATCH(B37,Datos!$G$6:$G$105,0)),"")</f>
        <v/>
      </c>
      <c r="D37" s="21" t="str">
        <f aca="false">IF(ISNUMBER(B37),INDEX(Datos!$D$6:$D$105,MATCH(B37,Datos!$G$6:$G$105,0)),"")</f>
        <v/>
      </c>
      <c r="E37" s="19" t="str">
        <f aca="false">IF(ISNUMBER(A37),$B$4-A37+1,"")</f>
        <v/>
      </c>
      <c r="F37" s="22" t="str">
        <f aca="false">IF(ISNUMBER(A37),IF(D37="Falla",N(F36)+($B$4+1-N(F36))/(1+E37),N(F36)),"")</f>
        <v/>
      </c>
      <c r="G37" s="23" t="str">
        <f aca="false">IF(AND(ISNUMBER(A37),D37="Falla"),(F37-0.3)/($B$4+0.4),"")</f>
        <v/>
      </c>
      <c r="H37" s="23" t="str">
        <f aca="false">IF(ISNUMBER(G37),LN(C37),"")</f>
        <v/>
      </c>
      <c r="I37" s="23" t="str">
        <f aca="false">IF(ISNUMBER(G37),LN(-LN(1-G37)),"")</f>
        <v/>
      </c>
    </row>
    <row r="38" customFormat="false" ht="15" hidden="false" customHeight="false" outlineLevel="0" collapsed="false">
      <c r="A38" s="19" t="str">
        <f aca="false">IF(27&lt;=$B$4,27,"")</f>
        <v/>
      </c>
      <c r="B38" s="20" t="str">
        <f aca="false">IF(ISNUMBER(A38),SMALL(Datos!$G$6:$G$105,A38),"")</f>
        <v/>
      </c>
      <c r="C38" s="19" t="str">
        <f aca="false">IF(ISNUMBER(B38),INDEX(Datos!$F$6:$F$105,MATCH(B38,Datos!$G$6:$G$105,0)),"")</f>
        <v/>
      </c>
      <c r="D38" s="21" t="str">
        <f aca="false">IF(ISNUMBER(B38),INDEX(Datos!$D$6:$D$105,MATCH(B38,Datos!$G$6:$G$105,0)),"")</f>
        <v/>
      </c>
      <c r="E38" s="19" t="str">
        <f aca="false">IF(ISNUMBER(A38),$B$4-A38+1,"")</f>
        <v/>
      </c>
      <c r="F38" s="22" t="str">
        <f aca="false">IF(ISNUMBER(A38),IF(D38="Falla",N(F37)+($B$4+1-N(F37))/(1+E38),N(F37)),"")</f>
        <v/>
      </c>
      <c r="G38" s="23" t="str">
        <f aca="false">IF(AND(ISNUMBER(A38),D38="Falla"),(F38-0.3)/($B$4+0.4),"")</f>
        <v/>
      </c>
      <c r="H38" s="23" t="str">
        <f aca="false">IF(ISNUMBER(G38),LN(C38),"")</f>
        <v/>
      </c>
      <c r="I38" s="23" t="str">
        <f aca="false">IF(ISNUMBER(G38),LN(-LN(1-G38)),"")</f>
        <v/>
      </c>
    </row>
    <row r="39" customFormat="false" ht="15" hidden="false" customHeight="false" outlineLevel="0" collapsed="false">
      <c r="A39" s="19" t="str">
        <f aca="false">IF(28&lt;=$B$4,28,"")</f>
        <v/>
      </c>
      <c r="B39" s="20" t="str">
        <f aca="false">IF(ISNUMBER(A39),SMALL(Datos!$G$6:$G$105,A39),"")</f>
        <v/>
      </c>
      <c r="C39" s="19" t="str">
        <f aca="false">IF(ISNUMBER(B39),INDEX(Datos!$F$6:$F$105,MATCH(B39,Datos!$G$6:$G$105,0)),"")</f>
        <v/>
      </c>
      <c r="D39" s="21" t="str">
        <f aca="false">IF(ISNUMBER(B39),INDEX(Datos!$D$6:$D$105,MATCH(B39,Datos!$G$6:$G$105,0)),"")</f>
        <v/>
      </c>
      <c r="E39" s="19" t="str">
        <f aca="false">IF(ISNUMBER(A39),$B$4-A39+1,"")</f>
        <v/>
      </c>
      <c r="F39" s="22" t="str">
        <f aca="false">IF(ISNUMBER(A39),IF(D39="Falla",N(F38)+($B$4+1-N(F38))/(1+E39),N(F38)),"")</f>
        <v/>
      </c>
      <c r="G39" s="23" t="str">
        <f aca="false">IF(AND(ISNUMBER(A39),D39="Falla"),(F39-0.3)/($B$4+0.4),"")</f>
        <v/>
      </c>
      <c r="H39" s="23" t="str">
        <f aca="false">IF(ISNUMBER(G39),LN(C39),"")</f>
        <v/>
      </c>
      <c r="I39" s="23" t="str">
        <f aca="false">IF(ISNUMBER(G39),LN(-LN(1-G39)),"")</f>
        <v/>
      </c>
    </row>
    <row r="40" customFormat="false" ht="15" hidden="false" customHeight="false" outlineLevel="0" collapsed="false">
      <c r="A40" s="19" t="str">
        <f aca="false">IF(29&lt;=$B$4,29,"")</f>
        <v/>
      </c>
      <c r="B40" s="20" t="str">
        <f aca="false">IF(ISNUMBER(A40),SMALL(Datos!$G$6:$G$105,A40),"")</f>
        <v/>
      </c>
      <c r="C40" s="19" t="str">
        <f aca="false">IF(ISNUMBER(B40),INDEX(Datos!$F$6:$F$105,MATCH(B40,Datos!$G$6:$G$105,0)),"")</f>
        <v/>
      </c>
      <c r="D40" s="21" t="str">
        <f aca="false">IF(ISNUMBER(B40),INDEX(Datos!$D$6:$D$105,MATCH(B40,Datos!$G$6:$G$105,0)),"")</f>
        <v/>
      </c>
      <c r="E40" s="19" t="str">
        <f aca="false">IF(ISNUMBER(A40),$B$4-A40+1,"")</f>
        <v/>
      </c>
      <c r="F40" s="22" t="str">
        <f aca="false">IF(ISNUMBER(A40),IF(D40="Falla",N(F39)+($B$4+1-N(F39))/(1+E40),N(F39)),"")</f>
        <v/>
      </c>
      <c r="G40" s="23" t="str">
        <f aca="false">IF(AND(ISNUMBER(A40),D40="Falla"),(F40-0.3)/($B$4+0.4),"")</f>
        <v/>
      </c>
      <c r="H40" s="23" t="str">
        <f aca="false">IF(ISNUMBER(G40),LN(C40),"")</f>
        <v/>
      </c>
      <c r="I40" s="23" t="str">
        <f aca="false">IF(ISNUMBER(G40),LN(-LN(1-G40)),"")</f>
        <v/>
      </c>
    </row>
    <row r="41" customFormat="false" ht="15" hidden="false" customHeight="false" outlineLevel="0" collapsed="false">
      <c r="A41" s="19" t="str">
        <f aca="false">IF(30&lt;=$B$4,30,"")</f>
        <v/>
      </c>
      <c r="B41" s="20" t="str">
        <f aca="false">IF(ISNUMBER(A41),SMALL(Datos!$G$6:$G$105,A41),"")</f>
        <v/>
      </c>
      <c r="C41" s="19" t="str">
        <f aca="false">IF(ISNUMBER(B41),INDEX(Datos!$F$6:$F$105,MATCH(B41,Datos!$G$6:$G$105,0)),"")</f>
        <v/>
      </c>
      <c r="D41" s="21" t="str">
        <f aca="false">IF(ISNUMBER(B41),INDEX(Datos!$D$6:$D$105,MATCH(B41,Datos!$G$6:$G$105,0)),"")</f>
        <v/>
      </c>
      <c r="E41" s="19" t="str">
        <f aca="false">IF(ISNUMBER(A41),$B$4-A41+1,"")</f>
        <v/>
      </c>
      <c r="F41" s="22" t="str">
        <f aca="false">IF(ISNUMBER(A41),IF(D41="Falla",N(F40)+($B$4+1-N(F40))/(1+E41),N(F40)),"")</f>
        <v/>
      </c>
      <c r="G41" s="23" t="str">
        <f aca="false">IF(AND(ISNUMBER(A41),D41="Falla"),(F41-0.3)/($B$4+0.4),"")</f>
        <v/>
      </c>
      <c r="H41" s="23" t="str">
        <f aca="false">IF(ISNUMBER(G41),LN(C41),"")</f>
        <v/>
      </c>
      <c r="I41" s="23" t="str">
        <f aca="false">IF(ISNUMBER(G41),LN(-LN(1-G41)),"")</f>
        <v/>
      </c>
    </row>
    <row r="42" customFormat="false" ht="15" hidden="false" customHeight="false" outlineLevel="0" collapsed="false">
      <c r="A42" s="19" t="str">
        <f aca="false">IF(31&lt;=$B$4,31,"")</f>
        <v/>
      </c>
      <c r="B42" s="20" t="str">
        <f aca="false">IF(ISNUMBER(A42),SMALL(Datos!$G$6:$G$105,A42),"")</f>
        <v/>
      </c>
      <c r="C42" s="19" t="str">
        <f aca="false">IF(ISNUMBER(B42),INDEX(Datos!$F$6:$F$105,MATCH(B42,Datos!$G$6:$G$105,0)),"")</f>
        <v/>
      </c>
      <c r="D42" s="21" t="str">
        <f aca="false">IF(ISNUMBER(B42),INDEX(Datos!$D$6:$D$105,MATCH(B42,Datos!$G$6:$G$105,0)),"")</f>
        <v/>
      </c>
      <c r="E42" s="19" t="str">
        <f aca="false">IF(ISNUMBER(A42),$B$4-A42+1,"")</f>
        <v/>
      </c>
      <c r="F42" s="22" t="str">
        <f aca="false">IF(ISNUMBER(A42),IF(D42="Falla",N(F41)+($B$4+1-N(F41))/(1+E42),N(F41)),"")</f>
        <v/>
      </c>
      <c r="G42" s="23" t="str">
        <f aca="false">IF(AND(ISNUMBER(A42),D42="Falla"),(F42-0.3)/($B$4+0.4),"")</f>
        <v/>
      </c>
      <c r="H42" s="23" t="str">
        <f aca="false">IF(ISNUMBER(G42),LN(C42),"")</f>
        <v/>
      </c>
      <c r="I42" s="23" t="str">
        <f aca="false">IF(ISNUMBER(G42),LN(-LN(1-G42)),"")</f>
        <v/>
      </c>
    </row>
    <row r="43" customFormat="false" ht="15" hidden="false" customHeight="false" outlineLevel="0" collapsed="false">
      <c r="A43" s="19" t="str">
        <f aca="false">IF(32&lt;=$B$4,32,"")</f>
        <v/>
      </c>
      <c r="B43" s="20" t="str">
        <f aca="false">IF(ISNUMBER(A43),SMALL(Datos!$G$6:$G$105,A43),"")</f>
        <v/>
      </c>
      <c r="C43" s="19" t="str">
        <f aca="false">IF(ISNUMBER(B43),INDEX(Datos!$F$6:$F$105,MATCH(B43,Datos!$G$6:$G$105,0)),"")</f>
        <v/>
      </c>
      <c r="D43" s="21" t="str">
        <f aca="false">IF(ISNUMBER(B43),INDEX(Datos!$D$6:$D$105,MATCH(B43,Datos!$G$6:$G$105,0)),"")</f>
        <v/>
      </c>
      <c r="E43" s="19" t="str">
        <f aca="false">IF(ISNUMBER(A43),$B$4-A43+1,"")</f>
        <v/>
      </c>
      <c r="F43" s="22" t="str">
        <f aca="false">IF(ISNUMBER(A43),IF(D43="Falla",N(F42)+($B$4+1-N(F42))/(1+E43),N(F42)),"")</f>
        <v/>
      </c>
      <c r="G43" s="23" t="str">
        <f aca="false">IF(AND(ISNUMBER(A43),D43="Falla"),(F43-0.3)/($B$4+0.4),"")</f>
        <v/>
      </c>
      <c r="H43" s="23" t="str">
        <f aca="false">IF(ISNUMBER(G43),LN(C43),"")</f>
        <v/>
      </c>
      <c r="I43" s="23" t="str">
        <f aca="false">IF(ISNUMBER(G43),LN(-LN(1-G43)),"")</f>
        <v/>
      </c>
    </row>
    <row r="44" customFormat="false" ht="15" hidden="false" customHeight="false" outlineLevel="0" collapsed="false">
      <c r="A44" s="19" t="str">
        <f aca="false">IF(33&lt;=$B$4,33,"")</f>
        <v/>
      </c>
      <c r="B44" s="20" t="str">
        <f aca="false">IF(ISNUMBER(A44),SMALL(Datos!$G$6:$G$105,A44),"")</f>
        <v/>
      </c>
      <c r="C44" s="19" t="str">
        <f aca="false">IF(ISNUMBER(B44),INDEX(Datos!$F$6:$F$105,MATCH(B44,Datos!$G$6:$G$105,0)),"")</f>
        <v/>
      </c>
      <c r="D44" s="21" t="str">
        <f aca="false">IF(ISNUMBER(B44),INDEX(Datos!$D$6:$D$105,MATCH(B44,Datos!$G$6:$G$105,0)),"")</f>
        <v/>
      </c>
      <c r="E44" s="19" t="str">
        <f aca="false">IF(ISNUMBER(A44),$B$4-A44+1,"")</f>
        <v/>
      </c>
      <c r="F44" s="22" t="str">
        <f aca="false">IF(ISNUMBER(A44),IF(D44="Falla",N(F43)+($B$4+1-N(F43))/(1+E44),N(F43)),"")</f>
        <v/>
      </c>
      <c r="G44" s="23" t="str">
        <f aca="false">IF(AND(ISNUMBER(A44),D44="Falla"),(F44-0.3)/($B$4+0.4),"")</f>
        <v/>
      </c>
      <c r="H44" s="23" t="str">
        <f aca="false">IF(ISNUMBER(G44),LN(C44),"")</f>
        <v/>
      </c>
      <c r="I44" s="23" t="str">
        <f aca="false">IF(ISNUMBER(G44),LN(-LN(1-G44)),"")</f>
        <v/>
      </c>
    </row>
    <row r="45" customFormat="false" ht="15" hidden="false" customHeight="false" outlineLevel="0" collapsed="false">
      <c r="A45" s="19" t="str">
        <f aca="false">IF(34&lt;=$B$4,34,"")</f>
        <v/>
      </c>
      <c r="B45" s="20" t="str">
        <f aca="false">IF(ISNUMBER(A45),SMALL(Datos!$G$6:$G$105,A45),"")</f>
        <v/>
      </c>
      <c r="C45" s="19" t="str">
        <f aca="false">IF(ISNUMBER(B45),INDEX(Datos!$F$6:$F$105,MATCH(B45,Datos!$G$6:$G$105,0)),"")</f>
        <v/>
      </c>
      <c r="D45" s="21" t="str">
        <f aca="false">IF(ISNUMBER(B45),INDEX(Datos!$D$6:$D$105,MATCH(B45,Datos!$G$6:$G$105,0)),"")</f>
        <v/>
      </c>
      <c r="E45" s="19" t="str">
        <f aca="false">IF(ISNUMBER(A45),$B$4-A45+1,"")</f>
        <v/>
      </c>
      <c r="F45" s="22" t="str">
        <f aca="false">IF(ISNUMBER(A45),IF(D45="Falla",N(F44)+($B$4+1-N(F44))/(1+E45),N(F44)),"")</f>
        <v/>
      </c>
      <c r="G45" s="23" t="str">
        <f aca="false">IF(AND(ISNUMBER(A45),D45="Falla"),(F45-0.3)/($B$4+0.4),"")</f>
        <v/>
      </c>
      <c r="H45" s="23" t="str">
        <f aca="false">IF(ISNUMBER(G45),LN(C45),"")</f>
        <v/>
      </c>
      <c r="I45" s="23" t="str">
        <f aca="false">IF(ISNUMBER(G45),LN(-LN(1-G45)),"")</f>
        <v/>
      </c>
    </row>
    <row r="46" customFormat="false" ht="15" hidden="false" customHeight="false" outlineLevel="0" collapsed="false">
      <c r="A46" s="19" t="str">
        <f aca="false">IF(35&lt;=$B$4,35,"")</f>
        <v/>
      </c>
      <c r="B46" s="20" t="str">
        <f aca="false">IF(ISNUMBER(A46),SMALL(Datos!$G$6:$G$105,A46),"")</f>
        <v/>
      </c>
      <c r="C46" s="19" t="str">
        <f aca="false">IF(ISNUMBER(B46),INDEX(Datos!$F$6:$F$105,MATCH(B46,Datos!$G$6:$G$105,0)),"")</f>
        <v/>
      </c>
      <c r="D46" s="21" t="str">
        <f aca="false">IF(ISNUMBER(B46),INDEX(Datos!$D$6:$D$105,MATCH(B46,Datos!$G$6:$G$105,0)),"")</f>
        <v/>
      </c>
      <c r="E46" s="19" t="str">
        <f aca="false">IF(ISNUMBER(A46),$B$4-A46+1,"")</f>
        <v/>
      </c>
      <c r="F46" s="22" t="str">
        <f aca="false">IF(ISNUMBER(A46),IF(D46="Falla",N(F45)+($B$4+1-N(F45))/(1+E46),N(F45)),"")</f>
        <v/>
      </c>
      <c r="G46" s="23" t="str">
        <f aca="false">IF(AND(ISNUMBER(A46),D46="Falla"),(F46-0.3)/($B$4+0.4),"")</f>
        <v/>
      </c>
      <c r="H46" s="23" t="str">
        <f aca="false">IF(ISNUMBER(G46),LN(C46),"")</f>
        <v/>
      </c>
      <c r="I46" s="23" t="str">
        <f aca="false">IF(ISNUMBER(G46),LN(-LN(1-G46)),"")</f>
        <v/>
      </c>
    </row>
    <row r="47" customFormat="false" ht="15" hidden="false" customHeight="false" outlineLevel="0" collapsed="false">
      <c r="A47" s="19" t="str">
        <f aca="false">IF(36&lt;=$B$4,36,"")</f>
        <v/>
      </c>
      <c r="B47" s="20" t="str">
        <f aca="false">IF(ISNUMBER(A47),SMALL(Datos!$G$6:$G$105,A47),"")</f>
        <v/>
      </c>
      <c r="C47" s="19" t="str">
        <f aca="false">IF(ISNUMBER(B47),INDEX(Datos!$F$6:$F$105,MATCH(B47,Datos!$G$6:$G$105,0)),"")</f>
        <v/>
      </c>
      <c r="D47" s="21" t="str">
        <f aca="false">IF(ISNUMBER(B47),INDEX(Datos!$D$6:$D$105,MATCH(B47,Datos!$G$6:$G$105,0)),"")</f>
        <v/>
      </c>
      <c r="E47" s="19" t="str">
        <f aca="false">IF(ISNUMBER(A47),$B$4-A47+1,"")</f>
        <v/>
      </c>
      <c r="F47" s="22" t="str">
        <f aca="false">IF(ISNUMBER(A47),IF(D47="Falla",N(F46)+($B$4+1-N(F46))/(1+E47),N(F46)),"")</f>
        <v/>
      </c>
      <c r="G47" s="23" t="str">
        <f aca="false">IF(AND(ISNUMBER(A47),D47="Falla"),(F47-0.3)/($B$4+0.4),"")</f>
        <v/>
      </c>
      <c r="H47" s="23" t="str">
        <f aca="false">IF(ISNUMBER(G47),LN(C47),"")</f>
        <v/>
      </c>
      <c r="I47" s="23" t="str">
        <f aca="false">IF(ISNUMBER(G47),LN(-LN(1-G47)),"")</f>
        <v/>
      </c>
    </row>
    <row r="48" customFormat="false" ht="15" hidden="false" customHeight="false" outlineLevel="0" collapsed="false">
      <c r="A48" s="19" t="str">
        <f aca="false">IF(37&lt;=$B$4,37,"")</f>
        <v/>
      </c>
      <c r="B48" s="20" t="str">
        <f aca="false">IF(ISNUMBER(A48),SMALL(Datos!$G$6:$G$105,A48),"")</f>
        <v/>
      </c>
      <c r="C48" s="19" t="str">
        <f aca="false">IF(ISNUMBER(B48),INDEX(Datos!$F$6:$F$105,MATCH(B48,Datos!$G$6:$G$105,0)),"")</f>
        <v/>
      </c>
      <c r="D48" s="21" t="str">
        <f aca="false">IF(ISNUMBER(B48),INDEX(Datos!$D$6:$D$105,MATCH(B48,Datos!$G$6:$G$105,0)),"")</f>
        <v/>
      </c>
      <c r="E48" s="19" t="str">
        <f aca="false">IF(ISNUMBER(A48),$B$4-A48+1,"")</f>
        <v/>
      </c>
      <c r="F48" s="22" t="str">
        <f aca="false">IF(ISNUMBER(A48),IF(D48="Falla",N(F47)+($B$4+1-N(F47))/(1+E48),N(F47)),"")</f>
        <v/>
      </c>
      <c r="G48" s="23" t="str">
        <f aca="false">IF(AND(ISNUMBER(A48),D48="Falla"),(F48-0.3)/($B$4+0.4),"")</f>
        <v/>
      </c>
      <c r="H48" s="23" t="str">
        <f aca="false">IF(ISNUMBER(G48),LN(C48),"")</f>
        <v/>
      </c>
      <c r="I48" s="23" t="str">
        <f aca="false">IF(ISNUMBER(G48),LN(-LN(1-G48)),"")</f>
        <v/>
      </c>
    </row>
    <row r="49" customFormat="false" ht="15" hidden="false" customHeight="false" outlineLevel="0" collapsed="false">
      <c r="A49" s="19" t="str">
        <f aca="false">IF(38&lt;=$B$4,38,"")</f>
        <v/>
      </c>
      <c r="B49" s="20" t="str">
        <f aca="false">IF(ISNUMBER(A49),SMALL(Datos!$G$6:$G$105,A49),"")</f>
        <v/>
      </c>
      <c r="C49" s="19" t="str">
        <f aca="false">IF(ISNUMBER(B49),INDEX(Datos!$F$6:$F$105,MATCH(B49,Datos!$G$6:$G$105,0)),"")</f>
        <v/>
      </c>
      <c r="D49" s="21" t="str">
        <f aca="false">IF(ISNUMBER(B49),INDEX(Datos!$D$6:$D$105,MATCH(B49,Datos!$G$6:$G$105,0)),"")</f>
        <v/>
      </c>
      <c r="E49" s="19" t="str">
        <f aca="false">IF(ISNUMBER(A49),$B$4-A49+1,"")</f>
        <v/>
      </c>
      <c r="F49" s="22" t="str">
        <f aca="false">IF(ISNUMBER(A49),IF(D49="Falla",N(F48)+($B$4+1-N(F48))/(1+E49),N(F48)),"")</f>
        <v/>
      </c>
      <c r="G49" s="23" t="str">
        <f aca="false">IF(AND(ISNUMBER(A49),D49="Falla"),(F49-0.3)/($B$4+0.4),"")</f>
        <v/>
      </c>
      <c r="H49" s="23" t="str">
        <f aca="false">IF(ISNUMBER(G49),LN(C49),"")</f>
        <v/>
      </c>
      <c r="I49" s="23" t="str">
        <f aca="false">IF(ISNUMBER(G49),LN(-LN(1-G49)),"")</f>
        <v/>
      </c>
    </row>
    <row r="50" customFormat="false" ht="15" hidden="false" customHeight="false" outlineLevel="0" collapsed="false">
      <c r="A50" s="19" t="str">
        <f aca="false">IF(39&lt;=$B$4,39,"")</f>
        <v/>
      </c>
      <c r="B50" s="20" t="str">
        <f aca="false">IF(ISNUMBER(A50),SMALL(Datos!$G$6:$G$105,A50),"")</f>
        <v/>
      </c>
      <c r="C50" s="19" t="str">
        <f aca="false">IF(ISNUMBER(B50),INDEX(Datos!$F$6:$F$105,MATCH(B50,Datos!$G$6:$G$105,0)),"")</f>
        <v/>
      </c>
      <c r="D50" s="21" t="str">
        <f aca="false">IF(ISNUMBER(B50),INDEX(Datos!$D$6:$D$105,MATCH(B50,Datos!$G$6:$G$105,0)),"")</f>
        <v/>
      </c>
      <c r="E50" s="19" t="str">
        <f aca="false">IF(ISNUMBER(A50),$B$4-A50+1,"")</f>
        <v/>
      </c>
      <c r="F50" s="22" t="str">
        <f aca="false">IF(ISNUMBER(A50),IF(D50="Falla",N(F49)+($B$4+1-N(F49))/(1+E50),N(F49)),"")</f>
        <v/>
      </c>
      <c r="G50" s="23" t="str">
        <f aca="false">IF(AND(ISNUMBER(A50),D50="Falla"),(F50-0.3)/($B$4+0.4),"")</f>
        <v/>
      </c>
      <c r="H50" s="23" t="str">
        <f aca="false">IF(ISNUMBER(G50),LN(C50),"")</f>
        <v/>
      </c>
      <c r="I50" s="23" t="str">
        <f aca="false">IF(ISNUMBER(G50),LN(-LN(1-G50)),"")</f>
        <v/>
      </c>
    </row>
    <row r="51" customFormat="false" ht="15" hidden="false" customHeight="false" outlineLevel="0" collapsed="false">
      <c r="A51" s="19" t="str">
        <f aca="false">IF(40&lt;=$B$4,40,"")</f>
        <v/>
      </c>
      <c r="B51" s="20" t="str">
        <f aca="false">IF(ISNUMBER(A51),SMALL(Datos!$G$6:$G$105,A51),"")</f>
        <v/>
      </c>
      <c r="C51" s="19" t="str">
        <f aca="false">IF(ISNUMBER(B51),INDEX(Datos!$F$6:$F$105,MATCH(B51,Datos!$G$6:$G$105,0)),"")</f>
        <v/>
      </c>
      <c r="D51" s="21" t="str">
        <f aca="false">IF(ISNUMBER(B51),INDEX(Datos!$D$6:$D$105,MATCH(B51,Datos!$G$6:$G$105,0)),"")</f>
        <v/>
      </c>
      <c r="E51" s="19" t="str">
        <f aca="false">IF(ISNUMBER(A51),$B$4-A51+1,"")</f>
        <v/>
      </c>
      <c r="F51" s="22" t="str">
        <f aca="false">IF(ISNUMBER(A51),IF(D51="Falla",N(F50)+($B$4+1-N(F50))/(1+E51),N(F50)),"")</f>
        <v/>
      </c>
      <c r="G51" s="23" t="str">
        <f aca="false">IF(AND(ISNUMBER(A51),D51="Falla"),(F51-0.3)/($B$4+0.4),"")</f>
        <v/>
      </c>
      <c r="H51" s="23" t="str">
        <f aca="false">IF(ISNUMBER(G51),LN(C51),"")</f>
        <v/>
      </c>
      <c r="I51" s="23" t="str">
        <f aca="false">IF(ISNUMBER(G51),LN(-LN(1-G51)),"")</f>
        <v/>
      </c>
    </row>
    <row r="52" customFormat="false" ht="15" hidden="false" customHeight="false" outlineLevel="0" collapsed="false">
      <c r="A52" s="19" t="str">
        <f aca="false">IF(41&lt;=$B$4,41,"")</f>
        <v/>
      </c>
      <c r="B52" s="20" t="str">
        <f aca="false">IF(ISNUMBER(A52),SMALL(Datos!$G$6:$G$105,A52),"")</f>
        <v/>
      </c>
      <c r="C52" s="19" t="str">
        <f aca="false">IF(ISNUMBER(B52),INDEX(Datos!$F$6:$F$105,MATCH(B52,Datos!$G$6:$G$105,0)),"")</f>
        <v/>
      </c>
      <c r="D52" s="21" t="str">
        <f aca="false">IF(ISNUMBER(B52),INDEX(Datos!$D$6:$D$105,MATCH(B52,Datos!$G$6:$G$105,0)),"")</f>
        <v/>
      </c>
      <c r="E52" s="19" t="str">
        <f aca="false">IF(ISNUMBER(A52),$B$4-A52+1,"")</f>
        <v/>
      </c>
      <c r="F52" s="22" t="str">
        <f aca="false">IF(ISNUMBER(A52),IF(D52="Falla",N(F51)+($B$4+1-N(F51))/(1+E52),N(F51)),"")</f>
        <v/>
      </c>
      <c r="G52" s="23" t="str">
        <f aca="false">IF(AND(ISNUMBER(A52),D52="Falla"),(F52-0.3)/($B$4+0.4),"")</f>
        <v/>
      </c>
      <c r="H52" s="23" t="str">
        <f aca="false">IF(ISNUMBER(G52),LN(C52),"")</f>
        <v/>
      </c>
      <c r="I52" s="23" t="str">
        <f aca="false">IF(ISNUMBER(G52),LN(-LN(1-G52)),"")</f>
        <v/>
      </c>
    </row>
    <row r="53" customFormat="false" ht="15" hidden="false" customHeight="false" outlineLevel="0" collapsed="false">
      <c r="A53" s="19" t="str">
        <f aca="false">IF(42&lt;=$B$4,42,"")</f>
        <v/>
      </c>
      <c r="B53" s="20" t="str">
        <f aca="false">IF(ISNUMBER(A53),SMALL(Datos!$G$6:$G$105,A53),"")</f>
        <v/>
      </c>
      <c r="C53" s="19" t="str">
        <f aca="false">IF(ISNUMBER(B53),INDEX(Datos!$F$6:$F$105,MATCH(B53,Datos!$G$6:$G$105,0)),"")</f>
        <v/>
      </c>
      <c r="D53" s="21" t="str">
        <f aca="false">IF(ISNUMBER(B53),INDEX(Datos!$D$6:$D$105,MATCH(B53,Datos!$G$6:$G$105,0)),"")</f>
        <v/>
      </c>
      <c r="E53" s="19" t="str">
        <f aca="false">IF(ISNUMBER(A53),$B$4-A53+1,"")</f>
        <v/>
      </c>
      <c r="F53" s="22" t="str">
        <f aca="false">IF(ISNUMBER(A53),IF(D53="Falla",N(F52)+($B$4+1-N(F52))/(1+E53),N(F52)),"")</f>
        <v/>
      </c>
      <c r="G53" s="23" t="str">
        <f aca="false">IF(AND(ISNUMBER(A53),D53="Falla"),(F53-0.3)/($B$4+0.4),"")</f>
        <v/>
      </c>
      <c r="H53" s="23" t="str">
        <f aca="false">IF(ISNUMBER(G53),LN(C53),"")</f>
        <v/>
      </c>
      <c r="I53" s="23" t="str">
        <f aca="false">IF(ISNUMBER(G53),LN(-LN(1-G53)),"")</f>
        <v/>
      </c>
    </row>
    <row r="54" customFormat="false" ht="15" hidden="false" customHeight="false" outlineLevel="0" collapsed="false">
      <c r="A54" s="19" t="str">
        <f aca="false">IF(43&lt;=$B$4,43,"")</f>
        <v/>
      </c>
      <c r="B54" s="20" t="str">
        <f aca="false">IF(ISNUMBER(A54),SMALL(Datos!$G$6:$G$105,A54),"")</f>
        <v/>
      </c>
      <c r="C54" s="19" t="str">
        <f aca="false">IF(ISNUMBER(B54),INDEX(Datos!$F$6:$F$105,MATCH(B54,Datos!$G$6:$G$105,0)),"")</f>
        <v/>
      </c>
      <c r="D54" s="21" t="str">
        <f aca="false">IF(ISNUMBER(B54),INDEX(Datos!$D$6:$D$105,MATCH(B54,Datos!$G$6:$G$105,0)),"")</f>
        <v/>
      </c>
      <c r="E54" s="19" t="str">
        <f aca="false">IF(ISNUMBER(A54),$B$4-A54+1,"")</f>
        <v/>
      </c>
      <c r="F54" s="22" t="str">
        <f aca="false">IF(ISNUMBER(A54),IF(D54="Falla",N(F53)+($B$4+1-N(F53))/(1+E54),N(F53)),"")</f>
        <v/>
      </c>
      <c r="G54" s="23" t="str">
        <f aca="false">IF(AND(ISNUMBER(A54),D54="Falla"),(F54-0.3)/($B$4+0.4),"")</f>
        <v/>
      </c>
      <c r="H54" s="23" t="str">
        <f aca="false">IF(ISNUMBER(G54),LN(C54),"")</f>
        <v/>
      </c>
      <c r="I54" s="23" t="str">
        <f aca="false">IF(ISNUMBER(G54),LN(-LN(1-G54)),"")</f>
        <v/>
      </c>
    </row>
    <row r="55" customFormat="false" ht="15" hidden="false" customHeight="false" outlineLevel="0" collapsed="false">
      <c r="A55" s="19" t="str">
        <f aca="false">IF(44&lt;=$B$4,44,"")</f>
        <v/>
      </c>
      <c r="B55" s="20" t="str">
        <f aca="false">IF(ISNUMBER(A55),SMALL(Datos!$G$6:$G$105,A55),"")</f>
        <v/>
      </c>
      <c r="C55" s="19" t="str">
        <f aca="false">IF(ISNUMBER(B55),INDEX(Datos!$F$6:$F$105,MATCH(B55,Datos!$G$6:$G$105,0)),"")</f>
        <v/>
      </c>
      <c r="D55" s="21" t="str">
        <f aca="false">IF(ISNUMBER(B55),INDEX(Datos!$D$6:$D$105,MATCH(B55,Datos!$G$6:$G$105,0)),"")</f>
        <v/>
      </c>
      <c r="E55" s="19" t="str">
        <f aca="false">IF(ISNUMBER(A55),$B$4-A55+1,"")</f>
        <v/>
      </c>
      <c r="F55" s="22" t="str">
        <f aca="false">IF(ISNUMBER(A55),IF(D55="Falla",N(F54)+($B$4+1-N(F54))/(1+E55),N(F54)),"")</f>
        <v/>
      </c>
      <c r="G55" s="23" t="str">
        <f aca="false">IF(AND(ISNUMBER(A55),D55="Falla"),(F55-0.3)/($B$4+0.4),"")</f>
        <v/>
      </c>
      <c r="H55" s="23" t="str">
        <f aca="false">IF(ISNUMBER(G55),LN(C55),"")</f>
        <v/>
      </c>
      <c r="I55" s="23" t="str">
        <f aca="false">IF(ISNUMBER(G55),LN(-LN(1-G55)),"")</f>
        <v/>
      </c>
    </row>
    <row r="56" customFormat="false" ht="15" hidden="false" customHeight="false" outlineLevel="0" collapsed="false">
      <c r="A56" s="19" t="str">
        <f aca="false">IF(45&lt;=$B$4,45,"")</f>
        <v/>
      </c>
      <c r="B56" s="20" t="str">
        <f aca="false">IF(ISNUMBER(A56),SMALL(Datos!$G$6:$G$105,A56),"")</f>
        <v/>
      </c>
      <c r="C56" s="19" t="str">
        <f aca="false">IF(ISNUMBER(B56),INDEX(Datos!$F$6:$F$105,MATCH(B56,Datos!$G$6:$G$105,0)),"")</f>
        <v/>
      </c>
      <c r="D56" s="21" t="str">
        <f aca="false">IF(ISNUMBER(B56),INDEX(Datos!$D$6:$D$105,MATCH(B56,Datos!$G$6:$G$105,0)),"")</f>
        <v/>
      </c>
      <c r="E56" s="19" t="str">
        <f aca="false">IF(ISNUMBER(A56),$B$4-A56+1,"")</f>
        <v/>
      </c>
      <c r="F56" s="22" t="str">
        <f aca="false">IF(ISNUMBER(A56),IF(D56="Falla",N(F55)+($B$4+1-N(F55))/(1+E56),N(F55)),"")</f>
        <v/>
      </c>
      <c r="G56" s="23" t="str">
        <f aca="false">IF(AND(ISNUMBER(A56),D56="Falla"),(F56-0.3)/($B$4+0.4),"")</f>
        <v/>
      </c>
      <c r="H56" s="23" t="str">
        <f aca="false">IF(ISNUMBER(G56),LN(C56),"")</f>
        <v/>
      </c>
      <c r="I56" s="23" t="str">
        <f aca="false">IF(ISNUMBER(G56),LN(-LN(1-G56)),"")</f>
        <v/>
      </c>
    </row>
    <row r="57" customFormat="false" ht="15" hidden="false" customHeight="false" outlineLevel="0" collapsed="false">
      <c r="A57" s="19" t="str">
        <f aca="false">IF(46&lt;=$B$4,46,"")</f>
        <v/>
      </c>
      <c r="B57" s="20" t="str">
        <f aca="false">IF(ISNUMBER(A57),SMALL(Datos!$G$6:$G$105,A57),"")</f>
        <v/>
      </c>
      <c r="C57" s="19" t="str">
        <f aca="false">IF(ISNUMBER(B57),INDEX(Datos!$F$6:$F$105,MATCH(B57,Datos!$G$6:$G$105,0)),"")</f>
        <v/>
      </c>
      <c r="D57" s="21" t="str">
        <f aca="false">IF(ISNUMBER(B57),INDEX(Datos!$D$6:$D$105,MATCH(B57,Datos!$G$6:$G$105,0)),"")</f>
        <v/>
      </c>
      <c r="E57" s="19" t="str">
        <f aca="false">IF(ISNUMBER(A57),$B$4-A57+1,"")</f>
        <v/>
      </c>
      <c r="F57" s="22" t="str">
        <f aca="false">IF(ISNUMBER(A57),IF(D57="Falla",N(F56)+($B$4+1-N(F56))/(1+E57),N(F56)),"")</f>
        <v/>
      </c>
      <c r="G57" s="23" t="str">
        <f aca="false">IF(AND(ISNUMBER(A57),D57="Falla"),(F57-0.3)/($B$4+0.4),"")</f>
        <v/>
      </c>
      <c r="H57" s="23" t="str">
        <f aca="false">IF(ISNUMBER(G57),LN(C57),"")</f>
        <v/>
      </c>
      <c r="I57" s="23" t="str">
        <f aca="false">IF(ISNUMBER(G57),LN(-LN(1-G57)),"")</f>
        <v/>
      </c>
    </row>
    <row r="58" customFormat="false" ht="15" hidden="false" customHeight="false" outlineLevel="0" collapsed="false">
      <c r="A58" s="19" t="str">
        <f aca="false">IF(47&lt;=$B$4,47,"")</f>
        <v/>
      </c>
      <c r="B58" s="20" t="str">
        <f aca="false">IF(ISNUMBER(A58),SMALL(Datos!$G$6:$G$105,A58),"")</f>
        <v/>
      </c>
      <c r="C58" s="19" t="str">
        <f aca="false">IF(ISNUMBER(B58),INDEX(Datos!$F$6:$F$105,MATCH(B58,Datos!$G$6:$G$105,0)),"")</f>
        <v/>
      </c>
      <c r="D58" s="21" t="str">
        <f aca="false">IF(ISNUMBER(B58),INDEX(Datos!$D$6:$D$105,MATCH(B58,Datos!$G$6:$G$105,0)),"")</f>
        <v/>
      </c>
      <c r="E58" s="19" t="str">
        <f aca="false">IF(ISNUMBER(A58),$B$4-A58+1,"")</f>
        <v/>
      </c>
      <c r="F58" s="22" t="str">
        <f aca="false">IF(ISNUMBER(A58),IF(D58="Falla",N(F57)+($B$4+1-N(F57))/(1+E58),N(F57)),"")</f>
        <v/>
      </c>
      <c r="G58" s="23" t="str">
        <f aca="false">IF(AND(ISNUMBER(A58),D58="Falla"),(F58-0.3)/($B$4+0.4),"")</f>
        <v/>
      </c>
      <c r="H58" s="23" t="str">
        <f aca="false">IF(ISNUMBER(G58),LN(C58),"")</f>
        <v/>
      </c>
      <c r="I58" s="23" t="str">
        <f aca="false">IF(ISNUMBER(G58),LN(-LN(1-G58)),"")</f>
        <v/>
      </c>
    </row>
    <row r="59" customFormat="false" ht="15" hidden="false" customHeight="false" outlineLevel="0" collapsed="false">
      <c r="A59" s="19" t="str">
        <f aca="false">IF(48&lt;=$B$4,48,"")</f>
        <v/>
      </c>
      <c r="B59" s="20" t="str">
        <f aca="false">IF(ISNUMBER(A59),SMALL(Datos!$G$6:$G$105,A59),"")</f>
        <v/>
      </c>
      <c r="C59" s="19" t="str">
        <f aca="false">IF(ISNUMBER(B59),INDEX(Datos!$F$6:$F$105,MATCH(B59,Datos!$G$6:$G$105,0)),"")</f>
        <v/>
      </c>
      <c r="D59" s="21" t="str">
        <f aca="false">IF(ISNUMBER(B59),INDEX(Datos!$D$6:$D$105,MATCH(B59,Datos!$G$6:$G$105,0)),"")</f>
        <v/>
      </c>
      <c r="E59" s="19" t="str">
        <f aca="false">IF(ISNUMBER(A59),$B$4-A59+1,"")</f>
        <v/>
      </c>
      <c r="F59" s="22" t="str">
        <f aca="false">IF(ISNUMBER(A59),IF(D59="Falla",N(F58)+($B$4+1-N(F58))/(1+E59),N(F58)),"")</f>
        <v/>
      </c>
      <c r="G59" s="23" t="str">
        <f aca="false">IF(AND(ISNUMBER(A59),D59="Falla"),(F59-0.3)/($B$4+0.4),"")</f>
        <v/>
      </c>
      <c r="H59" s="23" t="str">
        <f aca="false">IF(ISNUMBER(G59),LN(C59),"")</f>
        <v/>
      </c>
      <c r="I59" s="23" t="str">
        <f aca="false">IF(ISNUMBER(G59),LN(-LN(1-G59)),"")</f>
        <v/>
      </c>
    </row>
    <row r="60" customFormat="false" ht="15" hidden="false" customHeight="false" outlineLevel="0" collapsed="false">
      <c r="A60" s="19" t="str">
        <f aca="false">IF(49&lt;=$B$4,49,"")</f>
        <v/>
      </c>
      <c r="B60" s="20" t="str">
        <f aca="false">IF(ISNUMBER(A60),SMALL(Datos!$G$6:$G$105,A60),"")</f>
        <v/>
      </c>
      <c r="C60" s="19" t="str">
        <f aca="false">IF(ISNUMBER(B60),INDEX(Datos!$F$6:$F$105,MATCH(B60,Datos!$G$6:$G$105,0)),"")</f>
        <v/>
      </c>
      <c r="D60" s="21" t="str">
        <f aca="false">IF(ISNUMBER(B60),INDEX(Datos!$D$6:$D$105,MATCH(B60,Datos!$G$6:$G$105,0)),"")</f>
        <v/>
      </c>
      <c r="E60" s="19" t="str">
        <f aca="false">IF(ISNUMBER(A60),$B$4-A60+1,"")</f>
        <v/>
      </c>
      <c r="F60" s="22" t="str">
        <f aca="false">IF(ISNUMBER(A60),IF(D60="Falla",N(F59)+($B$4+1-N(F59))/(1+E60),N(F59)),"")</f>
        <v/>
      </c>
      <c r="G60" s="23" t="str">
        <f aca="false">IF(AND(ISNUMBER(A60),D60="Falla"),(F60-0.3)/($B$4+0.4),"")</f>
        <v/>
      </c>
      <c r="H60" s="23" t="str">
        <f aca="false">IF(ISNUMBER(G60),LN(C60),"")</f>
        <v/>
      </c>
      <c r="I60" s="23" t="str">
        <f aca="false">IF(ISNUMBER(G60),LN(-LN(1-G60)),"")</f>
        <v/>
      </c>
    </row>
    <row r="61" customFormat="false" ht="15" hidden="false" customHeight="false" outlineLevel="0" collapsed="false">
      <c r="A61" s="19" t="str">
        <f aca="false">IF(50&lt;=$B$4,50,"")</f>
        <v/>
      </c>
      <c r="B61" s="20" t="str">
        <f aca="false">IF(ISNUMBER(A61),SMALL(Datos!$G$6:$G$105,A61),"")</f>
        <v/>
      </c>
      <c r="C61" s="19" t="str">
        <f aca="false">IF(ISNUMBER(B61),INDEX(Datos!$F$6:$F$105,MATCH(B61,Datos!$G$6:$G$105,0)),"")</f>
        <v/>
      </c>
      <c r="D61" s="21" t="str">
        <f aca="false">IF(ISNUMBER(B61),INDEX(Datos!$D$6:$D$105,MATCH(B61,Datos!$G$6:$G$105,0)),"")</f>
        <v/>
      </c>
      <c r="E61" s="19" t="str">
        <f aca="false">IF(ISNUMBER(A61),$B$4-A61+1,"")</f>
        <v/>
      </c>
      <c r="F61" s="22" t="str">
        <f aca="false">IF(ISNUMBER(A61),IF(D61="Falla",N(F60)+($B$4+1-N(F60))/(1+E61),N(F60)),"")</f>
        <v/>
      </c>
      <c r="G61" s="23" t="str">
        <f aca="false">IF(AND(ISNUMBER(A61),D61="Falla"),(F61-0.3)/($B$4+0.4),"")</f>
        <v/>
      </c>
      <c r="H61" s="23" t="str">
        <f aca="false">IF(ISNUMBER(G61),LN(C61),"")</f>
        <v/>
      </c>
      <c r="I61" s="23" t="str">
        <f aca="false">IF(ISNUMBER(G61),LN(-LN(1-G61)),"")</f>
        <v/>
      </c>
    </row>
    <row r="62" customFormat="false" ht="15" hidden="false" customHeight="false" outlineLevel="0" collapsed="false">
      <c r="A62" s="19" t="str">
        <f aca="false">IF(51&lt;=$B$4,51,"")</f>
        <v/>
      </c>
      <c r="B62" s="20" t="str">
        <f aca="false">IF(ISNUMBER(A62),SMALL(Datos!$G$6:$G$105,A62),"")</f>
        <v/>
      </c>
      <c r="C62" s="19" t="str">
        <f aca="false">IF(ISNUMBER(B62),INDEX(Datos!$F$6:$F$105,MATCH(B62,Datos!$G$6:$G$105,0)),"")</f>
        <v/>
      </c>
      <c r="D62" s="21" t="str">
        <f aca="false">IF(ISNUMBER(B62),INDEX(Datos!$D$6:$D$105,MATCH(B62,Datos!$G$6:$G$105,0)),"")</f>
        <v/>
      </c>
      <c r="E62" s="19" t="str">
        <f aca="false">IF(ISNUMBER(A62),$B$4-A62+1,"")</f>
        <v/>
      </c>
      <c r="F62" s="22" t="str">
        <f aca="false">IF(ISNUMBER(A62),IF(D62="Falla",N(F61)+($B$4+1-N(F61))/(1+E62),N(F61)),"")</f>
        <v/>
      </c>
      <c r="G62" s="23" t="str">
        <f aca="false">IF(AND(ISNUMBER(A62),D62="Falla"),(F62-0.3)/($B$4+0.4),"")</f>
        <v/>
      </c>
      <c r="H62" s="23" t="str">
        <f aca="false">IF(ISNUMBER(G62),LN(C62),"")</f>
        <v/>
      </c>
      <c r="I62" s="23" t="str">
        <f aca="false">IF(ISNUMBER(G62),LN(-LN(1-G62)),"")</f>
        <v/>
      </c>
    </row>
    <row r="63" customFormat="false" ht="15" hidden="false" customHeight="false" outlineLevel="0" collapsed="false">
      <c r="A63" s="19" t="str">
        <f aca="false">IF(52&lt;=$B$4,52,"")</f>
        <v/>
      </c>
      <c r="B63" s="20" t="str">
        <f aca="false">IF(ISNUMBER(A63),SMALL(Datos!$G$6:$G$105,A63),"")</f>
        <v/>
      </c>
      <c r="C63" s="19" t="str">
        <f aca="false">IF(ISNUMBER(B63),INDEX(Datos!$F$6:$F$105,MATCH(B63,Datos!$G$6:$G$105,0)),"")</f>
        <v/>
      </c>
      <c r="D63" s="21" t="str">
        <f aca="false">IF(ISNUMBER(B63),INDEX(Datos!$D$6:$D$105,MATCH(B63,Datos!$G$6:$G$105,0)),"")</f>
        <v/>
      </c>
      <c r="E63" s="19" t="str">
        <f aca="false">IF(ISNUMBER(A63),$B$4-A63+1,"")</f>
        <v/>
      </c>
      <c r="F63" s="22" t="str">
        <f aca="false">IF(ISNUMBER(A63),IF(D63="Falla",N(F62)+($B$4+1-N(F62))/(1+E63),N(F62)),"")</f>
        <v/>
      </c>
      <c r="G63" s="23" t="str">
        <f aca="false">IF(AND(ISNUMBER(A63),D63="Falla"),(F63-0.3)/($B$4+0.4),"")</f>
        <v/>
      </c>
      <c r="H63" s="23" t="str">
        <f aca="false">IF(ISNUMBER(G63),LN(C63),"")</f>
        <v/>
      </c>
      <c r="I63" s="23" t="str">
        <f aca="false">IF(ISNUMBER(G63),LN(-LN(1-G63)),"")</f>
        <v/>
      </c>
    </row>
    <row r="64" customFormat="false" ht="15" hidden="false" customHeight="false" outlineLevel="0" collapsed="false">
      <c r="A64" s="19" t="str">
        <f aca="false">IF(53&lt;=$B$4,53,"")</f>
        <v/>
      </c>
      <c r="B64" s="20" t="str">
        <f aca="false">IF(ISNUMBER(A64),SMALL(Datos!$G$6:$G$105,A64),"")</f>
        <v/>
      </c>
      <c r="C64" s="19" t="str">
        <f aca="false">IF(ISNUMBER(B64),INDEX(Datos!$F$6:$F$105,MATCH(B64,Datos!$G$6:$G$105,0)),"")</f>
        <v/>
      </c>
      <c r="D64" s="21" t="str">
        <f aca="false">IF(ISNUMBER(B64),INDEX(Datos!$D$6:$D$105,MATCH(B64,Datos!$G$6:$G$105,0)),"")</f>
        <v/>
      </c>
      <c r="E64" s="19" t="str">
        <f aca="false">IF(ISNUMBER(A64),$B$4-A64+1,"")</f>
        <v/>
      </c>
      <c r="F64" s="22" t="str">
        <f aca="false">IF(ISNUMBER(A64),IF(D64="Falla",N(F63)+($B$4+1-N(F63))/(1+E64),N(F63)),"")</f>
        <v/>
      </c>
      <c r="G64" s="23" t="str">
        <f aca="false">IF(AND(ISNUMBER(A64),D64="Falla"),(F64-0.3)/($B$4+0.4),"")</f>
        <v/>
      </c>
      <c r="H64" s="23" t="str">
        <f aca="false">IF(ISNUMBER(G64),LN(C64),"")</f>
        <v/>
      </c>
      <c r="I64" s="23" t="str">
        <f aca="false">IF(ISNUMBER(G64),LN(-LN(1-G64)),"")</f>
        <v/>
      </c>
    </row>
    <row r="65" customFormat="false" ht="15" hidden="false" customHeight="false" outlineLevel="0" collapsed="false">
      <c r="A65" s="19" t="str">
        <f aca="false">IF(54&lt;=$B$4,54,"")</f>
        <v/>
      </c>
      <c r="B65" s="20" t="str">
        <f aca="false">IF(ISNUMBER(A65),SMALL(Datos!$G$6:$G$105,A65),"")</f>
        <v/>
      </c>
      <c r="C65" s="19" t="str">
        <f aca="false">IF(ISNUMBER(B65),INDEX(Datos!$F$6:$F$105,MATCH(B65,Datos!$G$6:$G$105,0)),"")</f>
        <v/>
      </c>
      <c r="D65" s="21" t="str">
        <f aca="false">IF(ISNUMBER(B65),INDEX(Datos!$D$6:$D$105,MATCH(B65,Datos!$G$6:$G$105,0)),"")</f>
        <v/>
      </c>
      <c r="E65" s="19" t="str">
        <f aca="false">IF(ISNUMBER(A65),$B$4-A65+1,"")</f>
        <v/>
      </c>
      <c r="F65" s="22" t="str">
        <f aca="false">IF(ISNUMBER(A65),IF(D65="Falla",N(F64)+($B$4+1-N(F64))/(1+E65),N(F64)),"")</f>
        <v/>
      </c>
      <c r="G65" s="23" t="str">
        <f aca="false">IF(AND(ISNUMBER(A65),D65="Falla"),(F65-0.3)/($B$4+0.4),"")</f>
        <v/>
      </c>
      <c r="H65" s="23" t="str">
        <f aca="false">IF(ISNUMBER(G65),LN(C65),"")</f>
        <v/>
      </c>
      <c r="I65" s="23" t="str">
        <f aca="false">IF(ISNUMBER(G65),LN(-LN(1-G65)),"")</f>
        <v/>
      </c>
    </row>
    <row r="66" customFormat="false" ht="15" hidden="false" customHeight="false" outlineLevel="0" collapsed="false">
      <c r="A66" s="19" t="str">
        <f aca="false">IF(55&lt;=$B$4,55,"")</f>
        <v/>
      </c>
      <c r="B66" s="20" t="str">
        <f aca="false">IF(ISNUMBER(A66),SMALL(Datos!$G$6:$G$105,A66),"")</f>
        <v/>
      </c>
      <c r="C66" s="19" t="str">
        <f aca="false">IF(ISNUMBER(B66),INDEX(Datos!$F$6:$F$105,MATCH(B66,Datos!$G$6:$G$105,0)),"")</f>
        <v/>
      </c>
      <c r="D66" s="21" t="str">
        <f aca="false">IF(ISNUMBER(B66),INDEX(Datos!$D$6:$D$105,MATCH(B66,Datos!$G$6:$G$105,0)),"")</f>
        <v/>
      </c>
      <c r="E66" s="19" t="str">
        <f aca="false">IF(ISNUMBER(A66),$B$4-A66+1,"")</f>
        <v/>
      </c>
      <c r="F66" s="22" t="str">
        <f aca="false">IF(ISNUMBER(A66),IF(D66="Falla",N(F65)+($B$4+1-N(F65))/(1+E66),N(F65)),"")</f>
        <v/>
      </c>
      <c r="G66" s="23" t="str">
        <f aca="false">IF(AND(ISNUMBER(A66),D66="Falla"),(F66-0.3)/($B$4+0.4),"")</f>
        <v/>
      </c>
      <c r="H66" s="23" t="str">
        <f aca="false">IF(ISNUMBER(G66),LN(C66),"")</f>
        <v/>
      </c>
      <c r="I66" s="23" t="str">
        <f aca="false">IF(ISNUMBER(G66),LN(-LN(1-G66)),"")</f>
        <v/>
      </c>
    </row>
    <row r="67" customFormat="false" ht="15" hidden="false" customHeight="false" outlineLevel="0" collapsed="false">
      <c r="A67" s="19" t="str">
        <f aca="false">IF(56&lt;=$B$4,56,"")</f>
        <v/>
      </c>
      <c r="B67" s="20" t="str">
        <f aca="false">IF(ISNUMBER(A67),SMALL(Datos!$G$6:$G$105,A67),"")</f>
        <v/>
      </c>
      <c r="C67" s="19" t="str">
        <f aca="false">IF(ISNUMBER(B67),INDEX(Datos!$F$6:$F$105,MATCH(B67,Datos!$G$6:$G$105,0)),"")</f>
        <v/>
      </c>
      <c r="D67" s="21" t="str">
        <f aca="false">IF(ISNUMBER(B67),INDEX(Datos!$D$6:$D$105,MATCH(B67,Datos!$G$6:$G$105,0)),"")</f>
        <v/>
      </c>
      <c r="E67" s="19" t="str">
        <f aca="false">IF(ISNUMBER(A67),$B$4-A67+1,"")</f>
        <v/>
      </c>
      <c r="F67" s="22" t="str">
        <f aca="false">IF(ISNUMBER(A67),IF(D67="Falla",N(F66)+($B$4+1-N(F66))/(1+E67),N(F66)),"")</f>
        <v/>
      </c>
      <c r="G67" s="23" t="str">
        <f aca="false">IF(AND(ISNUMBER(A67),D67="Falla"),(F67-0.3)/($B$4+0.4),"")</f>
        <v/>
      </c>
      <c r="H67" s="23" t="str">
        <f aca="false">IF(ISNUMBER(G67),LN(C67),"")</f>
        <v/>
      </c>
      <c r="I67" s="23" t="str">
        <f aca="false">IF(ISNUMBER(G67),LN(-LN(1-G67)),"")</f>
        <v/>
      </c>
    </row>
    <row r="68" customFormat="false" ht="15" hidden="false" customHeight="false" outlineLevel="0" collapsed="false">
      <c r="A68" s="19" t="str">
        <f aca="false">IF(57&lt;=$B$4,57,"")</f>
        <v/>
      </c>
      <c r="B68" s="20" t="str">
        <f aca="false">IF(ISNUMBER(A68),SMALL(Datos!$G$6:$G$105,A68),"")</f>
        <v/>
      </c>
      <c r="C68" s="19" t="str">
        <f aca="false">IF(ISNUMBER(B68),INDEX(Datos!$F$6:$F$105,MATCH(B68,Datos!$G$6:$G$105,0)),"")</f>
        <v/>
      </c>
      <c r="D68" s="21" t="str">
        <f aca="false">IF(ISNUMBER(B68),INDEX(Datos!$D$6:$D$105,MATCH(B68,Datos!$G$6:$G$105,0)),"")</f>
        <v/>
      </c>
      <c r="E68" s="19" t="str">
        <f aca="false">IF(ISNUMBER(A68),$B$4-A68+1,"")</f>
        <v/>
      </c>
      <c r="F68" s="22" t="str">
        <f aca="false">IF(ISNUMBER(A68),IF(D68="Falla",N(F67)+($B$4+1-N(F67))/(1+E68),N(F67)),"")</f>
        <v/>
      </c>
      <c r="G68" s="23" t="str">
        <f aca="false">IF(AND(ISNUMBER(A68),D68="Falla"),(F68-0.3)/($B$4+0.4),"")</f>
        <v/>
      </c>
      <c r="H68" s="23" t="str">
        <f aca="false">IF(ISNUMBER(G68),LN(C68),"")</f>
        <v/>
      </c>
      <c r="I68" s="23" t="str">
        <f aca="false">IF(ISNUMBER(G68),LN(-LN(1-G68)),"")</f>
        <v/>
      </c>
    </row>
    <row r="69" customFormat="false" ht="15" hidden="false" customHeight="false" outlineLevel="0" collapsed="false">
      <c r="A69" s="19" t="str">
        <f aca="false">IF(58&lt;=$B$4,58,"")</f>
        <v/>
      </c>
      <c r="B69" s="20" t="str">
        <f aca="false">IF(ISNUMBER(A69),SMALL(Datos!$G$6:$G$105,A69),"")</f>
        <v/>
      </c>
      <c r="C69" s="19" t="str">
        <f aca="false">IF(ISNUMBER(B69),INDEX(Datos!$F$6:$F$105,MATCH(B69,Datos!$G$6:$G$105,0)),"")</f>
        <v/>
      </c>
      <c r="D69" s="21" t="str">
        <f aca="false">IF(ISNUMBER(B69),INDEX(Datos!$D$6:$D$105,MATCH(B69,Datos!$G$6:$G$105,0)),"")</f>
        <v/>
      </c>
      <c r="E69" s="19" t="str">
        <f aca="false">IF(ISNUMBER(A69),$B$4-A69+1,"")</f>
        <v/>
      </c>
      <c r="F69" s="22" t="str">
        <f aca="false">IF(ISNUMBER(A69),IF(D69="Falla",N(F68)+($B$4+1-N(F68))/(1+E69),N(F68)),"")</f>
        <v/>
      </c>
      <c r="G69" s="23" t="str">
        <f aca="false">IF(AND(ISNUMBER(A69),D69="Falla"),(F69-0.3)/($B$4+0.4),"")</f>
        <v/>
      </c>
      <c r="H69" s="23" t="str">
        <f aca="false">IF(ISNUMBER(G69),LN(C69),"")</f>
        <v/>
      </c>
      <c r="I69" s="23" t="str">
        <f aca="false">IF(ISNUMBER(G69),LN(-LN(1-G69)),"")</f>
        <v/>
      </c>
    </row>
    <row r="70" customFormat="false" ht="15" hidden="false" customHeight="false" outlineLevel="0" collapsed="false">
      <c r="A70" s="19" t="str">
        <f aca="false">IF(59&lt;=$B$4,59,"")</f>
        <v/>
      </c>
      <c r="B70" s="20" t="str">
        <f aca="false">IF(ISNUMBER(A70),SMALL(Datos!$G$6:$G$105,A70),"")</f>
        <v/>
      </c>
      <c r="C70" s="19" t="str">
        <f aca="false">IF(ISNUMBER(B70),INDEX(Datos!$F$6:$F$105,MATCH(B70,Datos!$G$6:$G$105,0)),"")</f>
        <v/>
      </c>
      <c r="D70" s="21" t="str">
        <f aca="false">IF(ISNUMBER(B70),INDEX(Datos!$D$6:$D$105,MATCH(B70,Datos!$G$6:$G$105,0)),"")</f>
        <v/>
      </c>
      <c r="E70" s="19" t="str">
        <f aca="false">IF(ISNUMBER(A70),$B$4-A70+1,"")</f>
        <v/>
      </c>
      <c r="F70" s="22" t="str">
        <f aca="false">IF(ISNUMBER(A70),IF(D70="Falla",N(F69)+($B$4+1-N(F69))/(1+E70),N(F69)),"")</f>
        <v/>
      </c>
      <c r="G70" s="23" t="str">
        <f aca="false">IF(AND(ISNUMBER(A70),D70="Falla"),(F70-0.3)/($B$4+0.4),"")</f>
        <v/>
      </c>
      <c r="H70" s="23" t="str">
        <f aca="false">IF(ISNUMBER(G70),LN(C70),"")</f>
        <v/>
      </c>
      <c r="I70" s="23" t="str">
        <f aca="false">IF(ISNUMBER(G70),LN(-LN(1-G70)),"")</f>
        <v/>
      </c>
    </row>
    <row r="71" customFormat="false" ht="15" hidden="false" customHeight="false" outlineLevel="0" collapsed="false">
      <c r="A71" s="19" t="str">
        <f aca="false">IF(60&lt;=$B$4,60,"")</f>
        <v/>
      </c>
      <c r="B71" s="20" t="str">
        <f aca="false">IF(ISNUMBER(A71),SMALL(Datos!$G$6:$G$105,A71),"")</f>
        <v/>
      </c>
      <c r="C71" s="19" t="str">
        <f aca="false">IF(ISNUMBER(B71),INDEX(Datos!$F$6:$F$105,MATCH(B71,Datos!$G$6:$G$105,0)),"")</f>
        <v/>
      </c>
      <c r="D71" s="21" t="str">
        <f aca="false">IF(ISNUMBER(B71),INDEX(Datos!$D$6:$D$105,MATCH(B71,Datos!$G$6:$G$105,0)),"")</f>
        <v/>
      </c>
      <c r="E71" s="19" t="str">
        <f aca="false">IF(ISNUMBER(A71),$B$4-A71+1,"")</f>
        <v/>
      </c>
      <c r="F71" s="22" t="str">
        <f aca="false">IF(ISNUMBER(A71),IF(D71="Falla",N(F70)+($B$4+1-N(F70))/(1+E71),N(F70)),"")</f>
        <v/>
      </c>
      <c r="G71" s="23" t="str">
        <f aca="false">IF(AND(ISNUMBER(A71),D71="Falla"),(F71-0.3)/($B$4+0.4),"")</f>
        <v/>
      </c>
      <c r="H71" s="23" t="str">
        <f aca="false">IF(ISNUMBER(G71),LN(C71),"")</f>
        <v/>
      </c>
      <c r="I71" s="23" t="str">
        <f aca="false">IF(ISNUMBER(G71),LN(-LN(1-G71)),"")</f>
        <v/>
      </c>
    </row>
    <row r="72" customFormat="false" ht="15" hidden="false" customHeight="false" outlineLevel="0" collapsed="false">
      <c r="A72" s="19" t="str">
        <f aca="false">IF(61&lt;=$B$4,61,"")</f>
        <v/>
      </c>
      <c r="B72" s="20" t="str">
        <f aca="false">IF(ISNUMBER(A72),SMALL(Datos!$G$6:$G$105,A72),"")</f>
        <v/>
      </c>
      <c r="C72" s="19" t="str">
        <f aca="false">IF(ISNUMBER(B72),INDEX(Datos!$F$6:$F$105,MATCH(B72,Datos!$G$6:$G$105,0)),"")</f>
        <v/>
      </c>
      <c r="D72" s="21" t="str">
        <f aca="false">IF(ISNUMBER(B72),INDEX(Datos!$D$6:$D$105,MATCH(B72,Datos!$G$6:$G$105,0)),"")</f>
        <v/>
      </c>
      <c r="E72" s="19" t="str">
        <f aca="false">IF(ISNUMBER(A72),$B$4-A72+1,"")</f>
        <v/>
      </c>
      <c r="F72" s="22" t="str">
        <f aca="false">IF(ISNUMBER(A72),IF(D72="Falla",N(F71)+($B$4+1-N(F71))/(1+E72),N(F71)),"")</f>
        <v/>
      </c>
      <c r="G72" s="23" t="str">
        <f aca="false">IF(AND(ISNUMBER(A72),D72="Falla"),(F72-0.3)/($B$4+0.4),"")</f>
        <v/>
      </c>
      <c r="H72" s="23" t="str">
        <f aca="false">IF(ISNUMBER(G72),LN(C72),"")</f>
        <v/>
      </c>
      <c r="I72" s="23" t="str">
        <f aca="false">IF(ISNUMBER(G72),LN(-LN(1-G72)),"")</f>
        <v/>
      </c>
    </row>
    <row r="73" customFormat="false" ht="15" hidden="false" customHeight="false" outlineLevel="0" collapsed="false">
      <c r="A73" s="19" t="str">
        <f aca="false">IF(62&lt;=$B$4,62,"")</f>
        <v/>
      </c>
      <c r="B73" s="20" t="str">
        <f aca="false">IF(ISNUMBER(A73),SMALL(Datos!$G$6:$G$105,A73),"")</f>
        <v/>
      </c>
      <c r="C73" s="19" t="str">
        <f aca="false">IF(ISNUMBER(B73),INDEX(Datos!$F$6:$F$105,MATCH(B73,Datos!$G$6:$G$105,0)),"")</f>
        <v/>
      </c>
      <c r="D73" s="21" t="str">
        <f aca="false">IF(ISNUMBER(B73),INDEX(Datos!$D$6:$D$105,MATCH(B73,Datos!$G$6:$G$105,0)),"")</f>
        <v/>
      </c>
      <c r="E73" s="19" t="str">
        <f aca="false">IF(ISNUMBER(A73),$B$4-A73+1,"")</f>
        <v/>
      </c>
      <c r="F73" s="22" t="str">
        <f aca="false">IF(ISNUMBER(A73),IF(D73="Falla",N(F72)+($B$4+1-N(F72))/(1+E73),N(F72)),"")</f>
        <v/>
      </c>
      <c r="G73" s="23" t="str">
        <f aca="false">IF(AND(ISNUMBER(A73),D73="Falla"),(F73-0.3)/($B$4+0.4),"")</f>
        <v/>
      </c>
      <c r="H73" s="23" t="str">
        <f aca="false">IF(ISNUMBER(G73),LN(C73),"")</f>
        <v/>
      </c>
      <c r="I73" s="23" t="str">
        <f aca="false">IF(ISNUMBER(G73),LN(-LN(1-G73)),"")</f>
        <v/>
      </c>
    </row>
    <row r="74" customFormat="false" ht="15" hidden="false" customHeight="false" outlineLevel="0" collapsed="false">
      <c r="A74" s="19" t="str">
        <f aca="false">IF(63&lt;=$B$4,63,"")</f>
        <v/>
      </c>
      <c r="B74" s="20" t="str">
        <f aca="false">IF(ISNUMBER(A74),SMALL(Datos!$G$6:$G$105,A74),"")</f>
        <v/>
      </c>
      <c r="C74" s="19" t="str">
        <f aca="false">IF(ISNUMBER(B74),INDEX(Datos!$F$6:$F$105,MATCH(B74,Datos!$G$6:$G$105,0)),"")</f>
        <v/>
      </c>
      <c r="D74" s="21" t="str">
        <f aca="false">IF(ISNUMBER(B74),INDEX(Datos!$D$6:$D$105,MATCH(B74,Datos!$G$6:$G$105,0)),"")</f>
        <v/>
      </c>
      <c r="E74" s="19" t="str">
        <f aca="false">IF(ISNUMBER(A74),$B$4-A74+1,"")</f>
        <v/>
      </c>
      <c r="F74" s="22" t="str">
        <f aca="false">IF(ISNUMBER(A74),IF(D74="Falla",N(F73)+($B$4+1-N(F73))/(1+E74),N(F73)),"")</f>
        <v/>
      </c>
      <c r="G74" s="23" t="str">
        <f aca="false">IF(AND(ISNUMBER(A74),D74="Falla"),(F74-0.3)/($B$4+0.4),"")</f>
        <v/>
      </c>
      <c r="H74" s="23" t="str">
        <f aca="false">IF(ISNUMBER(G74),LN(C74),"")</f>
        <v/>
      </c>
      <c r="I74" s="23" t="str">
        <f aca="false">IF(ISNUMBER(G74),LN(-LN(1-G74)),"")</f>
        <v/>
      </c>
    </row>
    <row r="75" customFormat="false" ht="15" hidden="false" customHeight="false" outlineLevel="0" collapsed="false">
      <c r="A75" s="19" t="str">
        <f aca="false">IF(64&lt;=$B$4,64,"")</f>
        <v/>
      </c>
      <c r="B75" s="20" t="str">
        <f aca="false">IF(ISNUMBER(A75),SMALL(Datos!$G$6:$G$105,A75),"")</f>
        <v/>
      </c>
      <c r="C75" s="19" t="str">
        <f aca="false">IF(ISNUMBER(B75),INDEX(Datos!$F$6:$F$105,MATCH(B75,Datos!$G$6:$G$105,0)),"")</f>
        <v/>
      </c>
      <c r="D75" s="21" t="str">
        <f aca="false">IF(ISNUMBER(B75),INDEX(Datos!$D$6:$D$105,MATCH(B75,Datos!$G$6:$G$105,0)),"")</f>
        <v/>
      </c>
      <c r="E75" s="19" t="str">
        <f aca="false">IF(ISNUMBER(A75),$B$4-A75+1,"")</f>
        <v/>
      </c>
      <c r="F75" s="22" t="str">
        <f aca="false">IF(ISNUMBER(A75),IF(D75="Falla",N(F74)+($B$4+1-N(F74))/(1+E75),N(F74)),"")</f>
        <v/>
      </c>
      <c r="G75" s="23" t="str">
        <f aca="false">IF(AND(ISNUMBER(A75),D75="Falla"),(F75-0.3)/($B$4+0.4),"")</f>
        <v/>
      </c>
      <c r="H75" s="23" t="str">
        <f aca="false">IF(ISNUMBER(G75),LN(C75),"")</f>
        <v/>
      </c>
      <c r="I75" s="23" t="str">
        <f aca="false">IF(ISNUMBER(G75),LN(-LN(1-G75)),"")</f>
        <v/>
      </c>
    </row>
    <row r="76" customFormat="false" ht="15" hidden="false" customHeight="false" outlineLevel="0" collapsed="false">
      <c r="A76" s="19" t="str">
        <f aca="false">IF(65&lt;=$B$4,65,"")</f>
        <v/>
      </c>
      <c r="B76" s="20" t="str">
        <f aca="false">IF(ISNUMBER(A76),SMALL(Datos!$G$6:$G$105,A76),"")</f>
        <v/>
      </c>
      <c r="C76" s="19" t="str">
        <f aca="false">IF(ISNUMBER(B76),INDEX(Datos!$F$6:$F$105,MATCH(B76,Datos!$G$6:$G$105,0)),"")</f>
        <v/>
      </c>
      <c r="D76" s="21" t="str">
        <f aca="false">IF(ISNUMBER(B76),INDEX(Datos!$D$6:$D$105,MATCH(B76,Datos!$G$6:$G$105,0)),"")</f>
        <v/>
      </c>
      <c r="E76" s="19" t="str">
        <f aca="false">IF(ISNUMBER(A76),$B$4-A76+1,"")</f>
        <v/>
      </c>
      <c r="F76" s="22" t="str">
        <f aca="false">IF(ISNUMBER(A76),IF(D76="Falla",N(F75)+($B$4+1-N(F75))/(1+E76),N(F75)),"")</f>
        <v/>
      </c>
      <c r="G76" s="23" t="str">
        <f aca="false">IF(AND(ISNUMBER(A76),D76="Falla"),(F76-0.3)/($B$4+0.4),"")</f>
        <v/>
      </c>
      <c r="H76" s="23" t="str">
        <f aca="false">IF(ISNUMBER(G76),LN(C76),"")</f>
        <v/>
      </c>
      <c r="I76" s="23" t="str">
        <f aca="false">IF(ISNUMBER(G76),LN(-LN(1-G76)),"")</f>
        <v/>
      </c>
    </row>
    <row r="77" customFormat="false" ht="15" hidden="false" customHeight="false" outlineLevel="0" collapsed="false">
      <c r="A77" s="19" t="str">
        <f aca="false">IF(66&lt;=$B$4,66,"")</f>
        <v/>
      </c>
      <c r="B77" s="20" t="str">
        <f aca="false">IF(ISNUMBER(A77),SMALL(Datos!$G$6:$G$105,A77),"")</f>
        <v/>
      </c>
      <c r="C77" s="19" t="str">
        <f aca="false">IF(ISNUMBER(B77),INDEX(Datos!$F$6:$F$105,MATCH(B77,Datos!$G$6:$G$105,0)),"")</f>
        <v/>
      </c>
      <c r="D77" s="21" t="str">
        <f aca="false">IF(ISNUMBER(B77),INDEX(Datos!$D$6:$D$105,MATCH(B77,Datos!$G$6:$G$105,0)),"")</f>
        <v/>
      </c>
      <c r="E77" s="19" t="str">
        <f aca="false">IF(ISNUMBER(A77),$B$4-A77+1,"")</f>
        <v/>
      </c>
      <c r="F77" s="22" t="str">
        <f aca="false">IF(ISNUMBER(A77),IF(D77="Falla",N(F76)+($B$4+1-N(F76))/(1+E77),N(F76)),"")</f>
        <v/>
      </c>
      <c r="G77" s="23" t="str">
        <f aca="false">IF(AND(ISNUMBER(A77),D77="Falla"),(F77-0.3)/($B$4+0.4),"")</f>
        <v/>
      </c>
      <c r="H77" s="23" t="str">
        <f aca="false">IF(ISNUMBER(G77),LN(C77),"")</f>
        <v/>
      </c>
      <c r="I77" s="23" t="str">
        <f aca="false">IF(ISNUMBER(G77),LN(-LN(1-G77)),"")</f>
        <v/>
      </c>
    </row>
    <row r="78" customFormat="false" ht="15" hidden="false" customHeight="false" outlineLevel="0" collapsed="false">
      <c r="A78" s="19" t="str">
        <f aca="false">IF(67&lt;=$B$4,67,"")</f>
        <v/>
      </c>
      <c r="B78" s="20" t="str">
        <f aca="false">IF(ISNUMBER(A78),SMALL(Datos!$G$6:$G$105,A78),"")</f>
        <v/>
      </c>
      <c r="C78" s="19" t="str">
        <f aca="false">IF(ISNUMBER(B78),INDEX(Datos!$F$6:$F$105,MATCH(B78,Datos!$G$6:$G$105,0)),"")</f>
        <v/>
      </c>
      <c r="D78" s="21" t="str">
        <f aca="false">IF(ISNUMBER(B78),INDEX(Datos!$D$6:$D$105,MATCH(B78,Datos!$G$6:$G$105,0)),"")</f>
        <v/>
      </c>
      <c r="E78" s="19" t="str">
        <f aca="false">IF(ISNUMBER(A78),$B$4-A78+1,"")</f>
        <v/>
      </c>
      <c r="F78" s="22" t="str">
        <f aca="false">IF(ISNUMBER(A78),IF(D78="Falla",N(F77)+($B$4+1-N(F77))/(1+E78),N(F77)),"")</f>
        <v/>
      </c>
      <c r="G78" s="23" t="str">
        <f aca="false">IF(AND(ISNUMBER(A78),D78="Falla"),(F78-0.3)/($B$4+0.4),"")</f>
        <v/>
      </c>
      <c r="H78" s="23" t="str">
        <f aca="false">IF(ISNUMBER(G78),LN(C78),"")</f>
        <v/>
      </c>
      <c r="I78" s="23" t="str">
        <f aca="false">IF(ISNUMBER(G78),LN(-LN(1-G78)),"")</f>
        <v/>
      </c>
    </row>
    <row r="79" customFormat="false" ht="15" hidden="false" customHeight="false" outlineLevel="0" collapsed="false">
      <c r="A79" s="19" t="str">
        <f aca="false">IF(68&lt;=$B$4,68,"")</f>
        <v/>
      </c>
      <c r="B79" s="20" t="str">
        <f aca="false">IF(ISNUMBER(A79),SMALL(Datos!$G$6:$G$105,A79),"")</f>
        <v/>
      </c>
      <c r="C79" s="19" t="str">
        <f aca="false">IF(ISNUMBER(B79),INDEX(Datos!$F$6:$F$105,MATCH(B79,Datos!$G$6:$G$105,0)),"")</f>
        <v/>
      </c>
      <c r="D79" s="21" t="str">
        <f aca="false">IF(ISNUMBER(B79),INDEX(Datos!$D$6:$D$105,MATCH(B79,Datos!$G$6:$G$105,0)),"")</f>
        <v/>
      </c>
      <c r="E79" s="19" t="str">
        <f aca="false">IF(ISNUMBER(A79),$B$4-A79+1,"")</f>
        <v/>
      </c>
      <c r="F79" s="22" t="str">
        <f aca="false">IF(ISNUMBER(A79),IF(D79="Falla",N(F78)+($B$4+1-N(F78))/(1+E79),N(F78)),"")</f>
        <v/>
      </c>
      <c r="G79" s="23" t="str">
        <f aca="false">IF(AND(ISNUMBER(A79),D79="Falla"),(F79-0.3)/($B$4+0.4),"")</f>
        <v/>
      </c>
      <c r="H79" s="23" t="str">
        <f aca="false">IF(ISNUMBER(G79),LN(C79),"")</f>
        <v/>
      </c>
      <c r="I79" s="23" t="str">
        <f aca="false">IF(ISNUMBER(G79),LN(-LN(1-G79)),"")</f>
        <v/>
      </c>
    </row>
    <row r="80" customFormat="false" ht="15" hidden="false" customHeight="false" outlineLevel="0" collapsed="false">
      <c r="A80" s="19" t="str">
        <f aca="false">IF(69&lt;=$B$4,69,"")</f>
        <v/>
      </c>
      <c r="B80" s="20" t="str">
        <f aca="false">IF(ISNUMBER(A80),SMALL(Datos!$G$6:$G$105,A80),"")</f>
        <v/>
      </c>
      <c r="C80" s="19" t="str">
        <f aca="false">IF(ISNUMBER(B80),INDEX(Datos!$F$6:$F$105,MATCH(B80,Datos!$G$6:$G$105,0)),"")</f>
        <v/>
      </c>
      <c r="D80" s="21" t="str">
        <f aca="false">IF(ISNUMBER(B80),INDEX(Datos!$D$6:$D$105,MATCH(B80,Datos!$G$6:$G$105,0)),"")</f>
        <v/>
      </c>
      <c r="E80" s="19" t="str">
        <f aca="false">IF(ISNUMBER(A80),$B$4-A80+1,"")</f>
        <v/>
      </c>
      <c r="F80" s="22" t="str">
        <f aca="false">IF(ISNUMBER(A80),IF(D80="Falla",N(F79)+($B$4+1-N(F79))/(1+E80),N(F79)),"")</f>
        <v/>
      </c>
      <c r="G80" s="23" t="str">
        <f aca="false">IF(AND(ISNUMBER(A80),D80="Falla"),(F80-0.3)/($B$4+0.4),"")</f>
        <v/>
      </c>
      <c r="H80" s="23" t="str">
        <f aca="false">IF(ISNUMBER(G80),LN(C80),"")</f>
        <v/>
      </c>
      <c r="I80" s="23" t="str">
        <f aca="false">IF(ISNUMBER(G80),LN(-LN(1-G80)),"")</f>
        <v/>
      </c>
    </row>
    <row r="81" customFormat="false" ht="15" hidden="false" customHeight="false" outlineLevel="0" collapsed="false">
      <c r="A81" s="19" t="str">
        <f aca="false">IF(70&lt;=$B$4,70,"")</f>
        <v/>
      </c>
      <c r="B81" s="20" t="str">
        <f aca="false">IF(ISNUMBER(A81),SMALL(Datos!$G$6:$G$105,A81),"")</f>
        <v/>
      </c>
      <c r="C81" s="19" t="str">
        <f aca="false">IF(ISNUMBER(B81),INDEX(Datos!$F$6:$F$105,MATCH(B81,Datos!$G$6:$G$105,0)),"")</f>
        <v/>
      </c>
      <c r="D81" s="21" t="str">
        <f aca="false">IF(ISNUMBER(B81),INDEX(Datos!$D$6:$D$105,MATCH(B81,Datos!$G$6:$G$105,0)),"")</f>
        <v/>
      </c>
      <c r="E81" s="19" t="str">
        <f aca="false">IF(ISNUMBER(A81),$B$4-A81+1,"")</f>
        <v/>
      </c>
      <c r="F81" s="22" t="str">
        <f aca="false">IF(ISNUMBER(A81),IF(D81="Falla",N(F80)+($B$4+1-N(F80))/(1+E81),N(F80)),"")</f>
        <v/>
      </c>
      <c r="G81" s="23" t="str">
        <f aca="false">IF(AND(ISNUMBER(A81),D81="Falla"),(F81-0.3)/($B$4+0.4),"")</f>
        <v/>
      </c>
      <c r="H81" s="23" t="str">
        <f aca="false">IF(ISNUMBER(G81),LN(C81),"")</f>
        <v/>
      </c>
      <c r="I81" s="23" t="str">
        <f aca="false">IF(ISNUMBER(G81),LN(-LN(1-G81)),"")</f>
        <v/>
      </c>
    </row>
    <row r="82" customFormat="false" ht="15" hidden="false" customHeight="false" outlineLevel="0" collapsed="false">
      <c r="A82" s="19" t="str">
        <f aca="false">IF(71&lt;=$B$4,71,"")</f>
        <v/>
      </c>
      <c r="B82" s="20" t="str">
        <f aca="false">IF(ISNUMBER(A82),SMALL(Datos!$G$6:$G$105,A82),"")</f>
        <v/>
      </c>
      <c r="C82" s="19" t="str">
        <f aca="false">IF(ISNUMBER(B82),INDEX(Datos!$F$6:$F$105,MATCH(B82,Datos!$G$6:$G$105,0)),"")</f>
        <v/>
      </c>
      <c r="D82" s="21" t="str">
        <f aca="false">IF(ISNUMBER(B82),INDEX(Datos!$D$6:$D$105,MATCH(B82,Datos!$G$6:$G$105,0)),"")</f>
        <v/>
      </c>
      <c r="E82" s="19" t="str">
        <f aca="false">IF(ISNUMBER(A82),$B$4-A82+1,"")</f>
        <v/>
      </c>
      <c r="F82" s="22" t="str">
        <f aca="false">IF(ISNUMBER(A82),IF(D82="Falla",N(F81)+($B$4+1-N(F81))/(1+E82),N(F81)),"")</f>
        <v/>
      </c>
      <c r="G82" s="23" t="str">
        <f aca="false">IF(AND(ISNUMBER(A82),D82="Falla"),(F82-0.3)/($B$4+0.4),"")</f>
        <v/>
      </c>
      <c r="H82" s="23" t="str">
        <f aca="false">IF(ISNUMBER(G82),LN(C82),"")</f>
        <v/>
      </c>
      <c r="I82" s="23" t="str">
        <f aca="false">IF(ISNUMBER(G82),LN(-LN(1-G82)),"")</f>
        <v/>
      </c>
    </row>
    <row r="83" customFormat="false" ht="15" hidden="false" customHeight="false" outlineLevel="0" collapsed="false">
      <c r="A83" s="19" t="str">
        <f aca="false">IF(72&lt;=$B$4,72,"")</f>
        <v/>
      </c>
      <c r="B83" s="20" t="str">
        <f aca="false">IF(ISNUMBER(A83),SMALL(Datos!$G$6:$G$105,A83),"")</f>
        <v/>
      </c>
      <c r="C83" s="19" t="str">
        <f aca="false">IF(ISNUMBER(B83),INDEX(Datos!$F$6:$F$105,MATCH(B83,Datos!$G$6:$G$105,0)),"")</f>
        <v/>
      </c>
      <c r="D83" s="21" t="str">
        <f aca="false">IF(ISNUMBER(B83),INDEX(Datos!$D$6:$D$105,MATCH(B83,Datos!$G$6:$G$105,0)),"")</f>
        <v/>
      </c>
      <c r="E83" s="19" t="str">
        <f aca="false">IF(ISNUMBER(A83),$B$4-A83+1,"")</f>
        <v/>
      </c>
      <c r="F83" s="22" t="str">
        <f aca="false">IF(ISNUMBER(A83),IF(D83="Falla",N(F82)+($B$4+1-N(F82))/(1+E83),N(F82)),"")</f>
        <v/>
      </c>
      <c r="G83" s="23" t="str">
        <f aca="false">IF(AND(ISNUMBER(A83),D83="Falla"),(F83-0.3)/($B$4+0.4),"")</f>
        <v/>
      </c>
      <c r="H83" s="23" t="str">
        <f aca="false">IF(ISNUMBER(G83),LN(C83),"")</f>
        <v/>
      </c>
      <c r="I83" s="23" t="str">
        <f aca="false">IF(ISNUMBER(G83),LN(-LN(1-G83)),"")</f>
        <v/>
      </c>
    </row>
    <row r="84" customFormat="false" ht="15" hidden="false" customHeight="false" outlineLevel="0" collapsed="false">
      <c r="A84" s="19" t="str">
        <f aca="false">IF(73&lt;=$B$4,73,"")</f>
        <v/>
      </c>
      <c r="B84" s="20" t="str">
        <f aca="false">IF(ISNUMBER(A84),SMALL(Datos!$G$6:$G$105,A84),"")</f>
        <v/>
      </c>
      <c r="C84" s="19" t="str">
        <f aca="false">IF(ISNUMBER(B84),INDEX(Datos!$F$6:$F$105,MATCH(B84,Datos!$G$6:$G$105,0)),"")</f>
        <v/>
      </c>
      <c r="D84" s="21" t="str">
        <f aca="false">IF(ISNUMBER(B84),INDEX(Datos!$D$6:$D$105,MATCH(B84,Datos!$G$6:$G$105,0)),"")</f>
        <v/>
      </c>
      <c r="E84" s="19" t="str">
        <f aca="false">IF(ISNUMBER(A84),$B$4-A84+1,"")</f>
        <v/>
      </c>
      <c r="F84" s="22" t="str">
        <f aca="false">IF(ISNUMBER(A84),IF(D84="Falla",N(F83)+($B$4+1-N(F83))/(1+E84),N(F83)),"")</f>
        <v/>
      </c>
      <c r="G84" s="23" t="str">
        <f aca="false">IF(AND(ISNUMBER(A84),D84="Falla"),(F84-0.3)/($B$4+0.4),"")</f>
        <v/>
      </c>
      <c r="H84" s="23" t="str">
        <f aca="false">IF(ISNUMBER(G84),LN(C84),"")</f>
        <v/>
      </c>
      <c r="I84" s="23" t="str">
        <f aca="false">IF(ISNUMBER(G84),LN(-LN(1-G84)),"")</f>
        <v/>
      </c>
    </row>
    <row r="85" customFormat="false" ht="15" hidden="false" customHeight="false" outlineLevel="0" collapsed="false">
      <c r="A85" s="19" t="str">
        <f aca="false">IF(74&lt;=$B$4,74,"")</f>
        <v/>
      </c>
      <c r="B85" s="20" t="str">
        <f aca="false">IF(ISNUMBER(A85),SMALL(Datos!$G$6:$G$105,A85),"")</f>
        <v/>
      </c>
      <c r="C85" s="19" t="str">
        <f aca="false">IF(ISNUMBER(B85),INDEX(Datos!$F$6:$F$105,MATCH(B85,Datos!$G$6:$G$105,0)),"")</f>
        <v/>
      </c>
      <c r="D85" s="21" t="str">
        <f aca="false">IF(ISNUMBER(B85),INDEX(Datos!$D$6:$D$105,MATCH(B85,Datos!$G$6:$G$105,0)),"")</f>
        <v/>
      </c>
      <c r="E85" s="19" t="str">
        <f aca="false">IF(ISNUMBER(A85),$B$4-A85+1,"")</f>
        <v/>
      </c>
      <c r="F85" s="22" t="str">
        <f aca="false">IF(ISNUMBER(A85),IF(D85="Falla",N(F84)+($B$4+1-N(F84))/(1+E85),N(F84)),"")</f>
        <v/>
      </c>
      <c r="G85" s="23" t="str">
        <f aca="false">IF(AND(ISNUMBER(A85),D85="Falla"),(F85-0.3)/($B$4+0.4),"")</f>
        <v/>
      </c>
      <c r="H85" s="23" t="str">
        <f aca="false">IF(ISNUMBER(G85),LN(C85),"")</f>
        <v/>
      </c>
      <c r="I85" s="23" t="str">
        <f aca="false">IF(ISNUMBER(G85),LN(-LN(1-G85)),"")</f>
        <v/>
      </c>
    </row>
    <row r="86" customFormat="false" ht="15" hidden="false" customHeight="false" outlineLevel="0" collapsed="false">
      <c r="A86" s="19" t="str">
        <f aca="false">IF(75&lt;=$B$4,75,"")</f>
        <v/>
      </c>
      <c r="B86" s="20" t="str">
        <f aca="false">IF(ISNUMBER(A86),SMALL(Datos!$G$6:$G$105,A86),"")</f>
        <v/>
      </c>
      <c r="C86" s="19" t="str">
        <f aca="false">IF(ISNUMBER(B86),INDEX(Datos!$F$6:$F$105,MATCH(B86,Datos!$G$6:$G$105,0)),"")</f>
        <v/>
      </c>
      <c r="D86" s="21" t="str">
        <f aca="false">IF(ISNUMBER(B86),INDEX(Datos!$D$6:$D$105,MATCH(B86,Datos!$G$6:$G$105,0)),"")</f>
        <v/>
      </c>
      <c r="E86" s="19" t="str">
        <f aca="false">IF(ISNUMBER(A86),$B$4-A86+1,"")</f>
        <v/>
      </c>
      <c r="F86" s="22" t="str">
        <f aca="false">IF(ISNUMBER(A86),IF(D86="Falla",N(F85)+($B$4+1-N(F85))/(1+E86),N(F85)),"")</f>
        <v/>
      </c>
      <c r="G86" s="23" t="str">
        <f aca="false">IF(AND(ISNUMBER(A86),D86="Falla"),(F86-0.3)/($B$4+0.4),"")</f>
        <v/>
      </c>
      <c r="H86" s="23" t="str">
        <f aca="false">IF(ISNUMBER(G86),LN(C86),"")</f>
        <v/>
      </c>
      <c r="I86" s="23" t="str">
        <f aca="false">IF(ISNUMBER(G86),LN(-LN(1-G86)),"")</f>
        <v/>
      </c>
    </row>
    <row r="87" customFormat="false" ht="15" hidden="false" customHeight="false" outlineLevel="0" collapsed="false">
      <c r="A87" s="19" t="str">
        <f aca="false">IF(76&lt;=$B$4,76,"")</f>
        <v/>
      </c>
      <c r="B87" s="20" t="str">
        <f aca="false">IF(ISNUMBER(A87),SMALL(Datos!$G$6:$G$105,A87),"")</f>
        <v/>
      </c>
      <c r="C87" s="19" t="str">
        <f aca="false">IF(ISNUMBER(B87),INDEX(Datos!$F$6:$F$105,MATCH(B87,Datos!$G$6:$G$105,0)),"")</f>
        <v/>
      </c>
      <c r="D87" s="21" t="str">
        <f aca="false">IF(ISNUMBER(B87),INDEX(Datos!$D$6:$D$105,MATCH(B87,Datos!$G$6:$G$105,0)),"")</f>
        <v/>
      </c>
      <c r="E87" s="19" t="str">
        <f aca="false">IF(ISNUMBER(A87),$B$4-A87+1,"")</f>
        <v/>
      </c>
      <c r="F87" s="22" t="str">
        <f aca="false">IF(ISNUMBER(A87),IF(D87="Falla",N(F86)+($B$4+1-N(F86))/(1+E87),N(F86)),"")</f>
        <v/>
      </c>
      <c r="G87" s="23" t="str">
        <f aca="false">IF(AND(ISNUMBER(A87),D87="Falla"),(F87-0.3)/($B$4+0.4),"")</f>
        <v/>
      </c>
      <c r="H87" s="23" t="str">
        <f aca="false">IF(ISNUMBER(G87),LN(C87),"")</f>
        <v/>
      </c>
      <c r="I87" s="23" t="str">
        <f aca="false">IF(ISNUMBER(G87),LN(-LN(1-G87)),"")</f>
        <v/>
      </c>
    </row>
    <row r="88" customFormat="false" ht="15" hidden="false" customHeight="false" outlineLevel="0" collapsed="false">
      <c r="A88" s="19" t="str">
        <f aca="false">IF(77&lt;=$B$4,77,"")</f>
        <v/>
      </c>
      <c r="B88" s="20" t="str">
        <f aca="false">IF(ISNUMBER(A88),SMALL(Datos!$G$6:$G$105,A88),"")</f>
        <v/>
      </c>
      <c r="C88" s="19" t="str">
        <f aca="false">IF(ISNUMBER(B88),INDEX(Datos!$F$6:$F$105,MATCH(B88,Datos!$G$6:$G$105,0)),"")</f>
        <v/>
      </c>
      <c r="D88" s="21" t="str">
        <f aca="false">IF(ISNUMBER(B88),INDEX(Datos!$D$6:$D$105,MATCH(B88,Datos!$G$6:$G$105,0)),"")</f>
        <v/>
      </c>
      <c r="E88" s="19" t="str">
        <f aca="false">IF(ISNUMBER(A88),$B$4-A88+1,"")</f>
        <v/>
      </c>
      <c r="F88" s="22" t="str">
        <f aca="false">IF(ISNUMBER(A88),IF(D88="Falla",N(F87)+($B$4+1-N(F87))/(1+E88),N(F87)),"")</f>
        <v/>
      </c>
      <c r="G88" s="23" t="str">
        <f aca="false">IF(AND(ISNUMBER(A88),D88="Falla"),(F88-0.3)/($B$4+0.4),"")</f>
        <v/>
      </c>
      <c r="H88" s="23" t="str">
        <f aca="false">IF(ISNUMBER(G88),LN(C88),"")</f>
        <v/>
      </c>
      <c r="I88" s="23" t="str">
        <f aca="false">IF(ISNUMBER(G88),LN(-LN(1-G88)),"")</f>
        <v/>
      </c>
    </row>
    <row r="89" customFormat="false" ht="15" hidden="false" customHeight="false" outlineLevel="0" collapsed="false">
      <c r="A89" s="19" t="str">
        <f aca="false">IF(78&lt;=$B$4,78,"")</f>
        <v/>
      </c>
      <c r="B89" s="20" t="str">
        <f aca="false">IF(ISNUMBER(A89),SMALL(Datos!$G$6:$G$105,A89),"")</f>
        <v/>
      </c>
      <c r="C89" s="19" t="str">
        <f aca="false">IF(ISNUMBER(B89),INDEX(Datos!$F$6:$F$105,MATCH(B89,Datos!$G$6:$G$105,0)),"")</f>
        <v/>
      </c>
      <c r="D89" s="21" t="str">
        <f aca="false">IF(ISNUMBER(B89),INDEX(Datos!$D$6:$D$105,MATCH(B89,Datos!$G$6:$G$105,0)),"")</f>
        <v/>
      </c>
      <c r="E89" s="19" t="str">
        <f aca="false">IF(ISNUMBER(A89),$B$4-A89+1,"")</f>
        <v/>
      </c>
      <c r="F89" s="22" t="str">
        <f aca="false">IF(ISNUMBER(A89),IF(D89="Falla",N(F88)+($B$4+1-N(F88))/(1+E89),N(F88)),"")</f>
        <v/>
      </c>
      <c r="G89" s="23" t="str">
        <f aca="false">IF(AND(ISNUMBER(A89),D89="Falla"),(F89-0.3)/($B$4+0.4),"")</f>
        <v/>
      </c>
      <c r="H89" s="23" t="str">
        <f aca="false">IF(ISNUMBER(G89),LN(C89),"")</f>
        <v/>
      </c>
      <c r="I89" s="23" t="str">
        <f aca="false">IF(ISNUMBER(G89),LN(-LN(1-G89)),"")</f>
        <v/>
      </c>
    </row>
    <row r="90" customFormat="false" ht="15" hidden="false" customHeight="false" outlineLevel="0" collapsed="false">
      <c r="A90" s="19" t="str">
        <f aca="false">IF(79&lt;=$B$4,79,"")</f>
        <v/>
      </c>
      <c r="B90" s="20" t="str">
        <f aca="false">IF(ISNUMBER(A90),SMALL(Datos!$G$6:$G$105,A90),"")</f>
        <v/>
      </c>
      <c r="C90" s="19" t="str">
        <f aca="false">IF(ISNUMBER(B90),INDEX(Datos!$F$6:$F$105,MATCH(B90,Datos!$G$6:$G$105,0)),"")</f>
        <v/>
      </c>
      <c r="D90" s="21" t="str">
        <f aca="false">IF(ISNUMBER(B90),INDEX(Datos!$D$6:$D$105,MATCH(B90,Datos!$G$6:$G$105,0)),"")</f>
        <v/>
      </c>
      <c r="E90" s="19" t="str">
        <f aca="false">IF(ISNUMBER(A90),$B$4-A90+1,"")</f>
        <v/>
      </c>
      <c r="F90" s="22" t="str">
        <f aca="false">IF(ISNUMBER(A90),IF(D90="Falla",N(F89)+($B$4+1-N(F89))/(1+E90),N(F89)),"")</f>
        <v/>
      </c>
      <c r="G90" s="23" t="str">
        <f aca="false">IF(AND(ISNUMBER(A90),D90="Falla"),(F90-0.3)/($B$4+0.4),"")</f>
        <v/>
      </c>
      <c r="H90" s="23" t="str">
        <f aca="false">IF(ISNUMBER(G90),LN(C90),"")</f>
        <v/>
      </c>
      <c r="I90" s="23" t="str">
        <f aca="false">IF(ISNUMBER(G90),LN(-LN(1-G90)),"")</f>
        <v/>
      </c>
    </row>
    <row r="91" customFormat="false" ht="15" hidden="false" customHeight="false" outlineLevel="0" collapsed="false">
      <c r="A91" s="19" t="str">
        <f aca="false">IF(80&lt;=$B$4,80,"")</f>
        <v/>
      </c>
      <c r="B91" s="20" t="str">
        <f aca="false">IF(ISNUMBER(A91),SMALL(Datos!$G$6:$G$105,A91),"")</f>
        <v/>
      </c>
      <c r="C91" s="19" t="str">
        <f aca="false">IF(ISNUMBER(B91),INDEX(Datos!$F$6:$F$105,MATCH(B91,Datos!$G$6:$G$105,0)),"")</f>
        <v/>
      </c>
      <c r="D91" s="21" t="str">
        <f aca="false">IF(ISNUMBER(B91),INDEX(Datos!$D$6:$D$105,MATCH(B91,Datos!$G$6:$G$105,0)),"")</f>
        <v/>
      </c>
      <c r="E91" s="19" t="str">
        <f aca="false">IF(ISNUMBER(A91),$B$4-A91+1,"")</f>
        <v/>
      </c>
      <c r="F91" s="22" t="str">
        <f aca="false">IF(ISNUMBER(A91),IF(D91="Falla",N(F90)+($B$4+1-N(F90))/(1+E91),N(F90)),"")</f>
        <v/>
      </c>
      <c r="G91" s="23" t="str">
        <f aca="false">IF(AND(ISNUMBER(A91),D91="Falla"),(F91-0.3)/($B$4+0.4),"")</f>
        <v/>
      </c>
      <c r="H91" s="23" t="str">
        <f aca="false">IF(ISNUMBER(G91),LN(C91),"")</f>
        <v/>
      </c>
      <c r="I91" s="23" t="str">
        <f aca="false">IF(ISNUMBER(G91),LN(-LN(1-G91)),"")</f>
        <v/>
      </c>
    </row>
    <row r="92" customFormat="false" ht="15" hidden="false" customHeight="false" outlineLevel="0" collapsed="false">
      <c r="A92" s="19" t="str">
        <f aca="false">IF(81&lt;=$B$4,81,"")</f>
        <v/>
      </c>
      <c r="B92" s="20" t="str">
        <f aca="false">IF(ISNUMBER(A92),SMALL(Datos!$G$6:$G$105,A92),"")</f>
        <v/>
      </c>
      <c r="C92" s="19" t="str">
        <f aca="false">IF(ISNUMBER(B92),INDEX(Datos!$F$6:$F$105,MATCH(B92,Datos!$G$6:$G$105,0)),"")</f>
        <v/>
      </c>
      <c r="D92" s="21" t="str">
        <f aca="false">IF(ISNUMBER(B92),INDEX(Datos!$D$6:$D$105,MATCH(B92,Datos!$G$6:$G$105,0)),"")</f>
        <v/>
      </c>
      <c r="E92" s="19" t="str">
        <f aca="false">IF(ISNUMBER(A92),$B$4-A92+1,"")</f>
        <v/>
      </c>
      <c r="F92" s="22" t="str">
        <f aca="false">IF(ISNUMBER(A92),IF(D92="Falla",N(F91)+($B$4+1-N(F91))/(1+E92),N(F91)),"")</f>
        <v/>
      </c>
      <c r="G92" s="23" t="str">
        <f aca="false">IF(AND(ISNUMBER(A92),D92="Falla"),(F92-0.3)/($B$4+0.4),"")</f>
        <v/>
      </c>
      <c r="H92" s="23" t="str">
        <f aca="false">IF(ISNUMBER(G92),LN(C92),"")</f>
        <v/>
      </c>
      <c r="I92" s="23" t="str">
        <f aca="false">IF(ISNUMBER(G92),LN(-LN(1-G92)),"")</f>
        <v/>
      </c>
    </row>
    <row r="93" customFormat="false" ht="15" hidden="false" customHeight="false" outlineLevel="0" collapsed="false">
      <c r="A93" s="19" t="str">
        <f aca="false">IF(82&lt;=$B$4,82,"")</f>
        <v/>
      </c>
      <c r="B93" s="20" t="str">
        <f aca="false">IF(ISNUMBER(A93),SMALL(Datos!$G$6:$G$105,A93),"")</f>
        <v/>
      </c>
      <c r="C93" s="19" t="str">
        <f aca="false">IF(ISNUMBER(B93),INDEX(Datos!$F$6:$F$105,MATCH(B93,Datos!$G$6:$G$105,0)),"")</f>
        <v/>
      </c>
      <c r="D93" s="21" t="str">
        <f aca="false">IF(ISNUMBER(B93),INDEX(Datos!$D$6:$D$105,MATCH(B93,Datos!$G$6:$G$105,0)),"")</f>
        <v/>
      </c>
      <c r="E93" s="19" t="str">
        <f aca="false">IF(ISNUMBER(A93),$B$4-A93+1,"")</f>
        <v/>
      </c>
      <c r="F93" s="22" t="str">
        <f aca="false">IF(ISNUMBER(A93),IF(D93="Falla",N(F92)+($B$4+1-N(F92))/(1+E93),N(F92)),"")</f>
        <v/>
      </c>
      <c r="G93" s="23" t="str">
        <f aca="false">IF(AND(ISNUMBER(A93),D93="Falla"),(F93-0.3)/($B$4+0.4),"")</f>
        <v/>
      </c>
      <c r="H93" s="23" t="str">
        <f aca="false">IF(ISNUMBER(G93),LN(C93),"")</f>
        <v/>
      </c>
      <c r="I93" s="23" t="str">
        <f aca="false">IF(ISNUMBER(G93),LN(-LN(1-G93)),"")</f>
        <v/>
      </c>
    </row>
    <row r="94" customFormat="false" ht="15" hidden="false" customHeight="false" outlineLevel="0" collapsed="false">
      <c r="A94" s="19" t="str">
        <f aca="false">IF(83&lt;=$B$4,83,"")</f>
        <v/>
      </c>
      <c r="B94" s="20" t="str">
        <f aca="false">IF(ISNUMBER(A94),SMALL(Datos!$G$6:$G$105,A94),"")</f>
        <v/>
      </c>
      <c r="C94" s="19" t="str">
        <f aca="false">IF(ISNUMBER(B94),INDEX(Datos!$F$6:$F$105,MATCH(B94,Datos!$G$6:$G$105,0)),"")</f>
        <v/>
      </c>
      <c r="D94" s="21" t="str">
        <f aca="false">IF(ISNUMBER(B94),INDEX(Datos!$D$6:$D$105,MATCH(B94,Datos!$G$6:$G$105,0)),"")</f>
        <v/>
      </c>
      <c r="E94" s="19" t="str">
        <f aca="false">IF(ISNUMBER(A94),$B$4-A94+1,"")</f>
        <v/>
      </c>
      <c r="F94" s="22" t="str">
        <f aca="false">IF(ISNUMBER(A94),IF(D94="Falla",N(F93)+($B$4+1-N(F93))/(1+E94),N(F93)),"")</f>
        <v/>
      </c>
      <c r="G94" s="23" t="str">
        <f aca="false">IF(AND(ISNUMBER(A94),D94="Falla"),(F94-0.3)/($B$4+0.4),"")</f>
        <v/>
      </c>
      <c r="H94" s="23" t="str">
        <f aca="false">IF(ISNUMBER(G94),LN(C94),"")</f>
        <v/>
      </c>
      <c r="I94" s="23" t="str">
        <f aca="false">IF(ISNUMBER(G94),LN(-LN(1-G94)),"")</f>
        <v/>
      </c>
    </row>
    <row r="95" customFormat="false" ht="15" hidden="false" customHeight="false" outlineLevel="0" collapsed="false">
      <c r="A95" s="19" t="str">
        <f aca="false">IF(84&lt;=$B$4,84,"")</f>
        <v/>
      </c>
      <c r="B95" s="20" t="str">
        <f aca="false">IF(ISNUMBER(A95),SMALL(Datos!$G$6:$G$105,A95),"")</f>
        <v/>
      </c>
      <c r="C95" s="19" t="str">
        <f aca="false">IF(ISNUMBER(B95),INDEX(Datos!$F$6:$F$105,MATCH(B95,Datos!$G$6:$G$105,0)),"")</f>
        <v/>
      </c>
      <c r="D95" s="21" t="str">
        <f aca="false">IF(ISNUMBER(B95),INDEX(Datos!$D$6:$D$105,MATCH(B95,Datos!$G$6:$G$105,0)),"")</f>
        <v/>
      </c>
      <c r="E95" s="19" t="str">
        <f aca="false">IF(ISNUMBER(A95),$B$4-A95+1,"")</f>
        <v/>
      </c>
      <c r="F95" s="22" t="str">
        <f aca="false">IF(ISNUMBER(A95),IF(D95="Falla",N(F94)+($B$4+1-N(F94))/(1+E95),N(F94)),"")</f>
        <v/>
      </c>
      <c r="G95" s="23" t="str">
        <f aca="false">IF(AND(ISNUMBER(A95),D95="Falla"),(F95-0.3)/($B$4+0.4),"")</f>
        <v/>
      </c>
      <c r="H95" s="23" t="str">
        <f aca="false">IF(ISNUMBER(G95),LN(C95),"")</f>
        <v/>
      </c>
      <c r="I95" s="23" t="str">
        <f aca="false">IF(ISNUMBER(G95),LN(-LN(1-G95)),"")</f>
        <v/>
      </c>
    </row>
    <row r="96" customFormat="false" ht="15" hidden="false" customHeight="false" outlineLevel="0" collapsed="false">
      <c r="A96" s="19" t="str">
        <f aca="false">IF(85&lt;=$B$4,85,"")</f>
        <v/>
      </c>
      <c r="B96" s="20" t="str">
        <f aca="false">IF(ISNUMBER(A96),SMALL(Datos!$G$6:$G$105,A96),"")</f>
        <v/>
      </c>
      <c r="C96" s="19" t="str">
        <f aca="false">IF(ISNUMBER(B96),INDEX(Datos!$F$6:$F$105,MATCH(B96,Datos!$G$6:$G$105,0)),"")</f>
        <v/>
      </c>
      <c r="D96" s="21" t="str">
        <f aca="false">IF(ISNUMBER(B96),INDEX(Datos!$D$6:$D$105,MATCH(B96,Datos!$G$6:$G$105,0)),"")</f>
        <v/>
      </c>
      <c r="E96" s="19" t="str">
        <f aca="false">IF(ISNUMBER(A96),$B$4-A96+1,"")</f>
        <v/>
      </c>
      <c r="F96" s="22" t="str">
        <f aca="false">IF(ISNUMBER(A96),IF(D96="Falla",N(F95)+($B$4+1-N(F95))/(1+E96),N(F95)),"")</f>
        <v/>
      </c>
      <c r="G96" s="23" t="str">
        <f aca="false">IF(AND(ISNUMBER(A96),D96="Falla"),(F96-0.3)/($B$4+0.4),"")</f>
        <v/>
      </c>
      <c r="H96" s="23" t="str">
        <f aca="false">IF(ISNUMBER(G96),LN(C96),"")</f>
        <v/>
      </c>
      <c r="I96" s="23" t="str">
        <f aca="false">IF(ISNUMBER(G96),LN(-LN(1-G96)),"")</f>
        <v/>
      </c>
    </row>
    <row r="97" customFormat="false" ht="15" hidden="false" customHeight="false" outlineLevel="0" collapsed="false">
      <c r="A97" s="19" t="str">
        <f aca="false">IF(86&lt;=$B$4,86,"")</f>
        <v/>
      </c>
      <c r="B97" s="20" t="str">
        <f aca="false">IF(ISNUMBER(A97),SMALL(Datos!$G$6:$G$105,A97),"")</f>
        <v/>
      </c>
      <c r="C97" s="19" t="str">
        <f aca="false">IF(ISNUMBER(B97),INDEX(Datos!$F$6:$F$105,MATCH(B97,Datos!$G$6:$G$105,0)),"")</f>
        <v/>
      </c>
      <c r="D97" s="21" t="str">
        <f aca="false">IF(ISNUMBER(B97),INDEX(Datos!$D$6:$D$105,MATCH(B97,Datos!$G$6:$G$105,0)),"")</f>
        <v/>
      </c>
      <c r="E97" s="19" t="str">
        <f aca="false">IF(ISNUMBER(A97),$B$4-A97+1,"")</f>
        <v/>
      </c>
      <c r="F97" s="22" t="str">
        <f aca="false">IF(ISNUMBER(A97),IF(D97="Falla",N(F96)+($B$4+1-N(F96))/(1+E97),N(F96)),"")</f>
        <v/>
      </c>
      <c r="G97" s="23" t="str">
        <f aca="false">IF(AND(ISNUMBER(A97),D97="Falla"),(F97-0.3)/($B$4+0.4),"")</f>
        <v/>
      </c>
      <c r="H97" s="23" t="str">
        <f aca="false">IF(ISNUMBER(G97),LN(C97),"")</f>
        <v/>
      </c>
      <c r="I97" s="23" t="str">
        <f aca="false">IF(ISNUMBER(G97),LN(-LN(1-G97)),"")</f>
        <v/>
      </c>
    </row>
    <row r="98" customFormat="false" ht="15" hidden="false" customHeight="false" outlineLevel="0" collapsed="false">
      <c r="A98" s="19" t="str">
        <f aca="false">IF(87&lt;=$B$4,87,"")</f>
        <v/>
      </c>
      <c r="B98" s="20" t="str">
        <f aca="false">IF(ISNUMBER(A98),SMALL(Datos!$G$6:$G$105,A98),"")</f>
        <v/>
      </c>
      <c r="C98" s="19" t="str">
        <f aca="false">IF(ISNUMBER(B98),INDEX(Datos!$F$6:$F$105,MATCH(B98,Datos!$G$6:$G$105,0)),"")</f>
        <v/>
      </c>
      <c r="D98" s="21" t="str">
        <f aca="false">IF(ISNUMBER(B98),INDEX(Datos!$D$6:$D$105,MATCH(B98,Datos!$G$6:$G$105,0)),"")</f>
        <v/>
      </c>
      <c r="E98" s="19" t="str">
        <f aca="false">IF(ISNUMBER(A98),$B$4-A98+1,"")</f>
        <v/>
      </c>
      <c r="F98" s="22" t="str">
        <f aca="false">IF(ISNUMBER(A98),IF(D98="Falla",N(F97)+($B$4+1-N(F97))/(1+E98),N(F97)),"")</f>
        <v/>
      </c>
      <c r="G98" s="23" t="str">
        <f aca="false">IF(AND(ISNUMBER(A98),D98="Falla"),(F98-0.3)/($B$4+0.4),"")</f>
        <v/>
      </c>
      <c r="H98" s="23" t="str">
        <f aca="false">IF(ISNUMBER(G98),LN(C98),"")</f>
        <v/>
      </c>
      <c r="I98" s="23" t="str">
        <f aca="false">IF(ISNUMBER(G98),LN(-LN(1-G98)),"")</f>
        <v/>
      </c>
    </row>
    <row r="99" customFormat="false" ht="15" hidden="false" customHeight="false" outlineLevel="0" collapsed="false">
      <c r="A99" s="19" t="str">
        <f aca="false">IF(88&lt;=$B$4,88,"")</f>
        <v/>
      </c>
      <c r="B99" s="20" t="str">
        <f aca="false">IF(ISNUMBER(A99),SMALL(Datos!$G$6:$G$105,A99),"")</f>
        <v/>
      </c>
      <c r="C99" s="19" t="str">
        <f aca="false">IF(ISNUMBER(B99),INDEX(Datos!$F$6:$F$105,MATCH(B99,Datos!$G$6:$G$105,0)),"")</f>
        <v/>
      </c>
      <c r="D99" s="21" t="str">
        <f aca="false">IF(ISNUMBER(B99),INDEX(Datos!$D$6:$D$105,MATCH(B99,Datos!$G$6:$G$105,0)),"")</f>
        <v/>
      </c>
      <c r="E99" s="19" t="str">
        <f aca="false">IF(ISNUMBER(A99),$B$4-A99+1,"")</f>
        <v/>
      </c>
      <c r="F99" s="22" t="str">
        <f aca="false">IF(ISNUMBER(A99),IF(D99="Falla",N(F98)+($B$4+1-N(F98))/(1+E99),N(F98)),"")</f>
        <v/>
      </c>
      <c r="G99" s="23" t="str">
        <f aca="false">IF(AND(ISNUMBER(A99),D99="Falla"),(F99-0.3)/($B$4+0.4),"")</f>
        <v/>
      </c>
      <c r="H99" s="23" t="str">
        <f aca="false">IF(ISNUMBER(G99),LN(C99),"")</f>
        <v/>
      </c>
      <c r="I99" s="23" t="str">
        <f aca="false">IF(ISNUMBER(G99),LN(-LN(1-G99)),"")</f>
        <v/>
      </c>
    </row>
    <row r="100" customFormat="false" ht="15" hidden="false" customHeight="false" outlineLevel="0" collapsed="false">
      <c r="A100" s="19" t="str">
        <f aca="false">IF(89&lt;=$B$4,89,"")</f>
        <v/>
      </c>
      <c r="B100" s="20" t="str">
        <f aca="false">IF(ISNUMBER(A100),SMALL(Datos!$G$6:$G$105,A100),"")</f>
        <v/>
      </c>
      <c r="C100" s="19" t="str">
        <f aca="false">IF(ISNUMBER(B100),INDEX(Datos!$F$6:$F$105,MATCH(B100,Datos!$G$6:$G$105,0)),"")</f>
        <v/>
      </c>
      <c r="D100" s="21" t="str">
        <f aca="false">IF(ISNUMBER(B100),INDEX(Datos!$D$6:$D$105,MATCH(B100,Datos!$G$6:$G$105,0)),"")</f>
        <v/>
      </c>
      <c r="E100" s="19" t="str">
        <f aca="false">IF(ISNUMBER(A100),$B$4-A100+1,"")</f>
        <v/>
      </c>
      <c r="F100" s="22" t="str">
        <f aca="false">IF(ISNUMBER(A100),IF(D100="Falla",N(F99)+($B$4+1-N(F99))/(1+E100),N(F99)),"")</f>
        <v/>
      </c>
      <c r="G100" s="23" t="str">
        <f aca="false">IF(AND(ISNUMBER(A100),D100="Falla"),(F100-0.3)/($B$4+0.4),"")</f>
        <v/>
      </c>
      <c r="H100" s="23" t="str">
        <f aca="false">IF(ISNUMBER(G100),LN(C100),"")</f>
        <v/>
      </c>
      <c r="I100" s="23" t="str">
        <f aca="false">IF(ISNUMBER(G100),LN(-LN(1-G100)),"")</f>
        <v/>
      </c>
    </row>
    <row r="101" customFormat="false" ht="15" hidden="false" customHeight="false" outlineLevel="0" collapsed="false">
      <c r="A101" s="19" t="str">
        <f aca="false">IF(90&lt;=$B$4,90,"")</f>
        <v/>
      </c>
      <c r="B101" s="20" t="str">
        <f aca="false">IF(ISNUMBER(A101),SMALL(Datos!$G$6:$G$105,A101),"")</f>
        <v/>
      </c>
      <c r="C101" s="19" t="str">
        <f aca="false">IF(ISNUMBER(B101),INDEX(Datos!$F$6:$F$105,MATCH(B101,Datos!$G$6:$G$105,0)),"")</f>
        <v/>
      </c>
      <c r="D101" s="21" t="str">
        <f aca="false">IF(ISNUMBER(B101),INDEX(Datos!$D$6:$D$105,MATCH(B101,Datos!$G$6:$G$105,0)),"")</f>
        <v/>
      </c>
      <c r="E101" s="19" t="str">
        <f aca="false">IF(ISNUMBER(A101),$B$4-A101+1,"")</f>
        <v/>
      </c>
      <c r="F101" s="22" t="str">
        <f aca="false">IF(ISNUMBER(A101),IF(D101="Falla",N(F100)+($B$4+1-N(F100))/(1+E101),N(F100)),"")</f>
        <v/>
      </c>
      <c r="G101" s="23" t="str">
        <f aca="false">IF(AND(ISNUMBER(A101),D101="Falla"),(F101-0.3)/($B$4+0.4),"")</f>
        <v/>
      </c>
      <c r="H101" s="23" t="str">
        <f aca="false">IF(ISNUMBER(G101),LN(C101),"")</f>
        <v/>
      </c>
      <c r="I101" s="23" t="str">
        <f aca="false">IF(ISNUMBER(G101),LN(-LN(1-G101)),"")</f>
        <v/>
      </c>
    </row>
    <row r="102" customFormat="false" ht="15" hidden="false" customHeight="false" outlineLevel="0" collapsed="false">
      <c r="A102" s="19" t="str">
        <f aca="false">IF(91&lt;=$B$4,91,"")</f>
        <v/>
      </c>
      <c r="B102" s="20" t="str">
        <f aca="false">IF(ISNUMBER(A102),SMALL(Datos!$G$6:$G$105,A102),"")</f>
        <v/>
      </c>
      <c r="C102" s="19" t="str">
        <f aca="false">IF(ISNUMBER(B102),INDEX(Datos!$F$6:$F$105,MATCH(B102,Datos!$G$6:$G$105,0)),"")</f>
        <v/>
      </c>
      <c r="D102" s="21" t="str">
        <f aca="false">IF(ISNUMBER(B102),INDEX(Datos!$D$6:$D$105,MATCH(B102,Datos!$G$6:$G$105,0)),"")</f>
        <v/>
      </c>
      <c r="E102" s="19" t="str">
        <f aca="false">IF(ISNUMBER(A102),$B$4-A102+1,"")</f>
        <v/>
      </c>
      <c r="F102" s="22" t="str">
        <f aca="false">IF(ISNUMBER(A102),IF(D102="Falla",N(F101)+($B$4+1-N(F101))/(1+E102),N(F101)),"")</f>
        <v/>
      </c>
      <c r="G102" s="23" t="str">
        <f aca="false">IF(AND(ISNUMBER(A102),D102="Falla"),(F102-0.3)/($B$4+0.4),"")</f>
        <v/>
      </c>
      <c r="H102" s="23" t="str">
        <f aca="false">IF(ISNUMBER(G102),LN(C102),"")</f>
        <v/>
      </c>
      <c r="I102" s="23" t="str">
        <f aca="false">IF(ISNUMBER(G102),LN(-LN(1-G102)),"")</f>
        <v/>
      </c>
    </row>
    <row r="103" customFormat="false" ht="15" hidden="false" customHeight="false" outlineLevel="0" collapsed="false">
      <c r="A103" s="19" t="str">
        <f aca="false">IF(92&lt;=$B$4,92,"")</f>
        <v/>
      </c>
      <c r="B103" s="20" t="str">
        <f aca="false">IF(ISNUMBER(A103),SMALL(Datos!$G$6:$G$105,A103),"")</f>
        <v/>
      </c>
      <c r="C103" s="19" t="str">
        <f aca="false">IF(ISNUMBER(B103),INDEX(Datos!$F$6:$F$105,MATCH(B103,Datos!$G$6:$G$105,0)),"")</f>
        <v/>
      </c>
      <c r="D103" s="21" t="str">
        <f aca="false">IF(ISNUMBER(B103),INDEX(Datos!$D$6:$D$105,MATCH(B103,Datos!$G$6:$G$105,0)),"")</f>
        <v/>
      </c>
      <c r="E103" s="19" t="str">
        <f aca="false">IF(ISNUMBER(A103),$B$4-A103+1,"")</f>
        <v/>
      </c>
      <c r="F103" s="22" t="str">
        <f aca="false">IF(ISNUMBER(A103),IF(D103="Falla",N(F102)+($B$4+1-N(F102))/(1+E103),N(F102)),"")</f>
        <v/>
      </c>
      <c r="G103" s="23" t="str">
        <f aca="false">IF(AND(ISNUMBER(A103),D103="Falla"),(F103-0.3)/($B$4+0.4),"")</f>
        <v/>
      </c>
      <c r="H103" s="23" t="str">
        <f aca="false">IF(ISNUMBER(G103),LN(C103),"")</f>
        <v/>
      </c>
      <c r="I103" s="23" t="str">
        <f aca="false">IF(ISNUMBER(G103),LN(-LN(1-G103)),"")</f>
        <v/>
      </c>
    </row>
    <row r="104" customFormat="false" ht="15" hidden="false" customHeight="false" outlineLevel="0" collapsed="false">
      <c r="A104" s="19" t="str">
        <f aca="false">IF(93&lt;=$B$4,93,"")</f>
        <v/>
      </c>
      <c r="B104" s="20" t="str">
        <f aca="false">IF(ISNUMBER(A104),SMALL(Datos!$G$6:$G$105,A104),"")</f>
        <v/>
      </c>
      <c r="C104" s="19" t="str">
        <f aca="false">IF(ISNUMBER(B104),INDEX(Datos!$F$6:$F$105,MATCH(B104,Datos!$G$6:$G$105,0)),"")</f>
        <v/>
      </c>
      <c r="D104" s="21" t="str">
        <f aca="false">IF(ISNUMBER(B104),INDEX(Datos!$D$6:$D$105,MATCH(B104,Datos!$G$6:$G$105,0)),"")</f>
        <v/>
      </c>
      <c r="E104" s="19" t="str">
        <f aca="false">IF(ISNUMBER(A104),$B$4-A104+1,"")</f>
        <v/>
      </c>
      <c r="F104" s="22" t="str">
        <f aca="false">IF(ISNUMBER(A104),IF(D104="Falla",N(F103)+($B$4+1-N(F103))/(1+E104),N(F103)),"")</f>
        <v/>
      </c>
      <c r="G104" s="23" t="str">
        <f aca="false">IF(AND(ISNUMBER(A104),D104="Falla"),(F104-0.3)/($B$4+0.4),"")</f>
        <v/>
      </c>
      <c r="H104" s="23" t="str">
        <f aca="false">IF(ISNUMBER(G104),LN(C104),"")</f>
        <v/>
      </c>
      <c r="I104" s="23" t="str">
        <f aca="false">IF(ISNUMBER(G104),LN(-LN(1-G104)),"")</f>
        <v/>
      </c>
    </row>
    <row r="105" customFormat="false" ht="15" hidden="false" customHeight="false" outlineLevel="0" collapsed="false">
      <c r="A105" s="19" t="str">
        <f aca="false">IF(94&lt;=$B$4,94,"")</f>
        <v/>
      </c>
      <c r="B105" s="20" t="str">
        <f aca="false">IF(ISNUMBER(A105),SMALL(Datos!$G$6:$G$105,A105),"")</f>
        <v/>
      </c>
      <c r="C105" s="19" t="str">
        <f aca="false">IF(ISNUMBER(B105),INDEX(Datos!$F$6:$F$105,MATCH(B105,Datos!$G$6:$G$105,0)),"")</f>
        <v/>
      </c>
      <c r="D105" s="21" t="str">
        <f aca="false">IF(ISNUMBER(B105),INDEX(Datos!$D$6:$D$105,MATCH(B105,Datos!$G$6:$G$105,0)),"")</f>
        <v/>
      </c>
      <c r="E105" s="19" t="str">
        <f aca="false">IF(ISNUMBER(A105),$B$4-A105+1,"")</f>
        <v/>
      </c>
      <c r="F105" s="22" t="str">
        <f aca="false">IF(ISNUMBER(A105),IF(D105="Falla",N(F104)+($B$4+1-N(F104))/(1+E105),N(F104)),"")</f>
        <v/>
      </c>
      <c r="G105" s="23" t="str">
        <f aca="false">IF(AND(ISNUMBER(A105),D105="Falla"),(F105-0.3)/($B$4+0.4),"")</f>
        <v/>
      </c>
      <c r="H105" s="23" t="str">
        <f aca="false">IF(ISNUMBER(G105),LN(C105),"")</f>
        <v/>
      </c>
      <c r="I105" s="23" t="str">
        <f aca="false">IF(ISNUMBER(G105),LN(-LN(1-G105)),"")</f>
        <v/>
      </c>
    </row>
    <row r="106" customFormat="false" ht="15" hidden="false" customHeight="false" outlineLevel="0" collapsed="false">
      <c r="A106" s="19" t="str">
        <f aca="false">IF(95&lt;=$B$4,95,"")</f>
        <v/>
      </c>
      <c r="B106" s="20" t="str">
        <f aca="false">IF(ISNUMBER(A106),SMALL(Datos!$G$6:$G$105,A106),"")</f>
        <v/>
      </c>
      <c r="C106" s="19" t="str">
        <f aca="false">IF(ISNUMBER(B106),INDEX(Datos!$F$6:$F$105,MATCH(B106,Datos!$G$6:$G$105,0)),"")</f>
        <v/>
      </c>
      <c r="D106" s="21" t="str">
        <f aca="false">IF(ISNUMBER(B106),INDEX(Datos!$D$6:$D$105,MATCH(B106,Datos!$G$6:$G$105,0)),"")</f>
        <v/>
      </c>
      <c r="E106" s="19" t="str">
        <f aca="false">IF(ISNUMBER(A106),$B$4-A106+1,"")</f>
        <v/>
      </c>
      <c r="F106" s="22" t="str">
        <f aca="false">IF(ISNUMBER(A106),IF(D106="Falla",N(F105)+($B$4+1-N(F105))/(1+E106),N(F105)),"")</f>
        <v/>
      </c>
      <c r="G106" s="23" t="str">
        <f aca="false">IF(AND(ISNUMBER(A106),D106="Falla"),(F106-0.3)/($B$4+0.4),"")</f>
        <v/>
      </c>
      <c r="H106" s="23" t="str">
        <f aca="false">IF(ISNUMBER(G106),LN(C106),"")</f>
        <v/>
      </c>
      <c r="I106" s="23" t="str">
        <f aca="false">IF(ISNUMBER(G106),LN(-LN(1-G106)),"")</f>
        <v/>
      </c>
    </row>
    <row r="107" customFormat="false" ht="15" hidden="false" customHeight="false" outlineLevel="0" collapsed="false">
      <c r="A107" s="19" t="str">
        <f aca="false">IF(96&lt;=$B$4,96,"")</f>
        <v/>
      </c>
      <c r="B107" s="20" t="str">
        <f aca="false">IF(ISNUMBER(A107),SMALL(Datos!$G$6:$G$105,A107),"")</f>
        <v/>
      </c>
      <c r="C107" s="19" t="str">
        <f aca="false">IF(ISNUMBER(B107),INDEX(Datos!$F$6:$F$105,MATCH(B107,Datos!$G$6:$G$105,0)),"")</f>
        <v/>
      </c>
      <c r="D107" s="21" t="str">
        <f aca="false">IF(ISNUMBER(B107),INDEX(Datos!$D$6:$D$105,MATCH(B107,Datos!$G$6:$G$105,0)),"")</f>
        <v/>
      </c>
      <c r="E107" s="19" t="str">
        <f aca="false">IF(ISNUMBER(A107),$B$4-A107+1,"")</f>
        <v/>
      </c>
      <c r="F107" s="22" t="str">
        <f aca="false">IF(ISNUMBER(A107),IF(D107="Falla",N(F106)+($B$4+1-N(F106))/(1+E107),N(F106)),"")</f>
        <v/>
      </c>
      <c r="G107" s="23" t="str">
        <f aca="false">IF(AND(ISNUMBER(A107),D107="Falla"),(F107-0.3)/($B$4+0.4),"")</f>
        <v/>
      </c>
      <c r="H107" s="23" t="str">
        <f aca="false">IF(ISNUMBER(G107),LN(C107),"")</f>
        <v/>
      </c>
      <c r="I107" s="23" t="str">
        <f aca="false">IF(ISNUMBER(G107),LN(-LN(1-G107)),"")</f>
        <v/>
      </c>
    </row>
    <row r="108" customFormat="false" ht="15" hidden="false" customHeight="false" outlineLevel="0" collapsed="false">
      <c r="A108" s="19" t="str">
        <f aca="false">IF(97&lt;=$B$4,97,"")</f>
        <v/>
      </c>
      <c r="B108" s="20" t="str">
        <f aca="false">IF(ISNUMBER(A108),SMALL(Datos!$G$6:$G$105,A108),"")</f>
        <v/>
      </c>
      <c r="C108" s="19" t="str">
        <f aca="false">IF(ISNUMBER(B108),INDEX(Datos!$F$6:$F$105,MATCH(B108,Datos!$G$6:$G$105,0)),"")</f>
        <v/>
      </c>
      <c r="D108" s="21" t="str">
        <f aca="false">IF(ISNUMBER(B108),INDEX(Datos!$D$6:$D$105,MATCH(B108,Datos!$G$6:$G$105,0)),"")</f>
        <v/>
      </c>
      <c r="E108" s="19" t="str">
        <f aca="false">IF(ISNUMBER(A108),$B$4-A108+1,"")</f>
        <v/>
      </c>
      <c r="F108" s="22" t="str">
        <f aca="false">IF(ISNUMBER(A108),IF(D108="Falla",N(F107)+($B$4+1-N(F107))/(1+E108),N(F107)),"")</f>
        <v/>
      </c>
      <c r="G108" s="23" t="str">
        <f aca="false">IF(AND(ISNUMBER(A108),D108="Falla"),(F108-0.3)/($B$4+0.4),"")</f>
        <v/>
      </c>
      <c r="H108" s="23" t="str">
        <f aca="false">IF(ISNUMBER(G108),LN(C108),"")</f>
        <v/>
      </c>
      <c r="I108" s="23" t="str">
        <f aca="false">IF(ISNUMBER(G108),LN(-LN(1-G108)),"")</f>
        <v/>
      </c>
    </row>
    <row r="109" customFormat="false" ht="15" hidden="false" customHeight="false" outlineLevel="0" collapsed="false">
      <c r="A109" s="19" t="str">
        <f aca="false">IF(98&lt;=$B$4,98,"")</f>
        <v/>
      </c>
      <c r="B109" s="20" t="str">
        <f aca="false">IF(ISNUMBER(A109),SMALL(Datos!$G$6:$G$105,A109),"")</f>
        <v/>
      </c>
      <c r="C109" s="19" t="str">
        <f aca="false">IF(ISNUMBER(B109),INDEX(Datos!$F$6:$F$105,MATCH(B109,Datos!$G$6:$G$105,0)),"")</f>
        <v/>
      </c>
      <c r="D109" s="21" t="str">
        <f aca="false">IF(ISNUMBER(B109),INDEX(Datos!$D$6:$D$105,MATCH(B109,Datos!$G$6:$G$105,0)),"")</f>
        <v/>
      </c>
      <c r="E109" s="19" t="str">
        <f aca="false">IF(ISNUMBER(A109),$B$4-A109+1,"")</f>
        <v/>
      </c>
      <c r="F109" s="22" t="str">
        <f aca="false">IF(ISNUMBER(A109),IF(D109="Falla",N(F108)+($B$4+1-N(F108))/(1+E109),N(F108)),"")</f>
        <v/>
      </c>
      <c r="G109" s="23" t="str">
        <f aca="false">IF(AND(ISNUMBER(A109),D109="Falla"),(F109-0.3)/($B$4+0.4),"")</f>
        <v/>
      </c>
      <c r="H109" s="23" t="str">
        <f aca="false">IF(ISNUMBER(G109),LN(C109),"")</f>
        <v/>
      </c>
      <c r="I109" s="23" t="str">
        <f aca="false">IF(ISNUMBER(G109),LN(-LN(1-G109)),"")</f>
        <v/>
      </c>
    </row>
    <row r="110" customFormat="false" ht="15" hidden="false" customHeight="false" outlineLevel="0" collapsed="false">
      <c r="A110" s="19" t="str">
        <f aca="false">IF(99&lt;=$B$4,99,"")</f>
        <v/>
      </c>
      <c r="B110" s="20" t="str">
        <f aca="false">IF(ISNUMBER(A110),SMALL(Datos!$G$6:$G$105,A110),"")</f>
        <v/>
      </c>
      <c r="C110" s="19" t="str">
        <f aca="false">IF(ISNUMBER(B110),INDEX(Datos!$F$6:$F$105,MATCH(B110,Datos!$G$6:$G$105,0)),"")</f>
        <v/>
      </c>
      <c r="D110" s="21" t="str">
        <f aca="false">IF(ISNUMBER(B110),INDEX(Datos!$D$6:$D$105,MATCH(B110,Datos!$G$6:$G$105,0)),"")</f>
        <v/>
      </c>
      <c r="E110" s="19" t="str">
        <f aca="false">IF(ISNUMBER(A110),$B$4-A110+1,"")</f>
        <v/>
      </c>
      <c r="F110" s="22" t="str">
        <f aca="false">IF(ISNUMBER(A110),IF(D110="Falla",N(F109)+($B$4+1-N(F109))/(1+E110),N(F109)),"")</f>
        <v/>
      </c>
      <c r="G110" s="23" t="str">
        <f aca="false">IF(AND(ISNUMBER(A110),D110="Falla"),(F110-0.3)/($B$4+0.4),"")</f>
        <v/>
      </c>
      <c r="H110" s="23" t="str">
        <f aca="false">IF(ISNUMBER(G110),LN(C110),"")</f>
        <v/>
      </c>
      <c r="I110" s="23" t="str">
        <f aca="false">IF(ISNUMBER(G110),LN(-LN(1-G110)),"")</f>
        <v/>
      </c>
    </row>
    <row r="111" customFormat="false" ht="15" hidden="false" customHeight="false" outlineLevel="0" collapsed="false">
      <c r="A111" s="19" t="str">
        <f aca="false">IF(100&lt;=$B$4,100,"")</f>
        <v/>
      </c>
      <c r="B111" s="20" t="str">
        <f aca="false">IF(ISNUMBER(A111),SMALL(Datos!$G$6:$G$105,A111),"")</f>
        <v/>
      </c>
      <c r="C111" s="19" t="str">
        <f aca="false">IF(ISNUMBER(B111),INDEX(Datos!$F$6:$F$105,MATCH(B111,Datos!$G$6:$G$105,0)),"")</f>
        <v/>
      </c>
      <c r="D111" s="21" t="str">
        <f aca="false">IF(ISNUMBER(B111),INDEX(Datos!$D$6:$D$105,MATCH(B111,Datos!$G$6:$G$105,0)),"")</f>
        <v/>
      </c>
      <c r="E111" s="19" t="str">
        <f aca="false">IF(ISNUMBER(A111),$B$4-A111+1,"")</f>
        <v/>
      </c>
      <c r="F111" s="22" t="str">
        <f aca="false">IF(ISNUMBER(A111),IF(D111="Falla",N(F110)+($B$4+1-N(F110))/(1+E111),N(F110)),"")</f>
        <v/>
      </c>
      <c r="G111" s="23" t="str">
        <f aca="false">IF(AND(ISNUMBER(A111),D111="Falla"),(F111-0.3)/($B$4+0.4),"")</f>
        <v/>
      </c>
      <c r="H111" s="23" t="str">
        <f aca="false">IF(ISNUMBER(G111),LN(C111),"")</f>
        <v/>
      </c>
      <c r="I111" s="23" t="str">
        <f aca="false">IF(ISNUMBER(G111),LN(-LN(1-G111)),"")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2026-10-14T22:39:13Z</dcterms:created>
  <dc:creator>openpyxl</dc:creator>
  <dc:description/>
  <dc:language>en-US</dc:language>
  <cp:lastModifiedBy/>
  <dcterms:modified xsi:type="dcterms:W3CDTF">2026-10-14T22:39:13Z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